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urface\Desktop\JDCC #9\"/>
    </mc:Choice>
  </mc:AlternateContent>
  <xr:revisionPtr revIDLastSave="0" documentId="13_ncr:1_{E3C8A45F-4062-45FE-97C8-268FEB79FFE8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2" sheetId="2" r:id="rId1"/>
  </sheets>
  <definedNames>
    <definedName name="_xlchart.v1.0" hidden="1">Sheet2!$R$34:$R$40</definedName>
    <definedName name="_xlchart.v1.1" hidden="1">Sheet2!$S$34:$S$40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2" l="1"/>
  <c r="F81" i="2"/>
  <c r="E79" i="2"/>
  <c r="F79" i="2"/>
  <c r="D79" i="2"/>
  <c r="D60" i="2"/>
  <c r="E60" i="2" s="1"/>
  <c r="F60" i="2" s="1"/>
  <c r="G60" i="2" s="1"/>
  <c r="H60" i="2" s="1"/>
  <c r="C61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U32" i="2"/>
  <c r="N22" i="2"/>
  <c r="O22" i="2"/>
  <c r="P22" i="2"/>
  <c r="N23" i="2"/>
  <c r="O23" i="2"/>
  <c r="P23" i="2"/>
  <c r="N24" i="2"/>
  <c r="O24" i="2"/>
  <c r="P24" i="2"/>
  <c r="N25" i="2"/>
  <c r="O25" i="2"/>
  <c r="P25" i="2"/>
  <c r="M23" i="2"/>
  <c r="M24" i="2"/>
  <c r="M25" i="2"/>
  <c r="M22" i="2"/>
  <c r="T34" i="2" a="1"/>
  <c r="T34" i="2" s="1"/>
  <c r="S34" i="2" s="1"/>
  <c r="K29" i="2"/>
  <c r="K30" i="2"/>
  <c r="K31" i="2"/>
  <c r="K28" i="2"/>
  <c r="S40" i="2"/>
  <c r="R34" i="2" a="1"/>
  <c r="R34" i="2" s="1"/>
  <c r="K49" i="2"/>
  <c r="L49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V9" i="2"/>
  <c r="X9" i="2"/>
  <c r="Y9" i="2"/>
  <c r="Z9" i="2"/>
  <c r="AA9" i="2"/>
  <c r="AB9" i="2"/>
  <c r="AC9" i="2"/>
  <c r="AD9" i="2"/>
  <c r="AE9" i="2"/>
  <c r="AF9" i="2"/>
  <c r="AG9" i="2"/>
  <c r="AH9" i="2"/>
  <c r="AI9" i="2"/>
  <c r="V10" i="2"/>
  <c r="W10" i="2"/>
  <c r="Y10" i="2"/>
  <c r="Z10" i="2"/>
  <c r="AA10" i="2"/>
  <c r="AB10" i="2"/>
  <c r="AC10" i="2"/>
  <c r="AD10" i="2"/>
  <c r="AE10" i="2"/>
  <c r="AF10" i="2"/>
  <c r="AG10" i="2"/>
  <c r="AH10" i="2"/>
  <c r="AI10" i="2"/>
  <c r="V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V12" i="2"/>
  <c r="W12" i="2"/>
  <c r="X12" i="2"/>
  <c r="Y12" i="2"/>
  <c r="AA12" i="2"/>
  <c r="AB12" i="2"/>
  <c r="AC12" i="2"/>
  <c r="AD12" i="2"/>
  <c r="AE12" i="2"/>
  <c r="AF12" i="2"/>
  <c r="AG12" i="2"/>
  <c r="AH12" i="2"/>
  <c r="AI12" i="2"/>
  <c r="V13" i="2"/>
  <c r="W13" i="2"/>
  <c r="X13" i="2"/>
  <c r="Y13" i="2"/>
  <c r="Z13" i="2"/>
  <c r="AB13" i="2"/>
  <c r="AC13" i="2"/>
  <c r="AD13" i="2"/>
  <c r="AE13" i="2"/>
  <c r="AF13" i="2"/>
  <c r="AG13" i="2"/>
  <c r="AH13" i="2"/>
  <c r="AI13" i="2"/>
  <c r="V14" i="2"/>
  <c r="W14" i="2"/>
  <c r="X14" i="2"/>
  <c r="Y14" i="2"/>
  <c r="Z14" i="2"/>
  <c r="AA14" i="2"/>
  <c r="AC14" i="2"/>
  <c r="AD14" i="2"/>
  <c r="AE14" i="2"/>
  <c r="AF14" i="2"/>
  <c r="AG14" i="2"/>
  <c r="AH14" i="2"/>
  <c r="AI14" i="2"/>
  <c r="V16" i="2"/>
  <c r="W16" i="2"/>
  <c r="X16" i="2"/>
  <c r="Y16" i="2"/>
  <c r="Z16" i="2"/>
  <c r="AA16" i="2"/>
  <c r="AB16" i="2"/>
  <c r="AC16" i="2"/>
  <c r="AE16" i="2"/>
  <c r="AF16" i="2"/>
  <c r="AG16" i="2"/>
  <c r="AH16" i="2"/>
  <c r="AI16" i="2"/>
  <c r="V17" i="2"/>
  <c r="W17" i="2"/>
  <c r="X17" i="2"/>
  <c r="Y17" i="2"/>
  <c r="Z17" i="2"/>
  <c r="AA17" i="2"/>
  <c r="AB17" i="2"/>
  <c r="AC17" i="2"/>
  <c r="AD17" i="2"/>
  <c r="AF17" i="2"/>
  <c r="AG17" i="2"/>
  <c r="AH17" i="2"/>
  <c r="AI17" i="2"/>
  <c r="V18" i="2"/>
  <c r="W18" i="2"/>
  <c r="X18" i="2"/>
  <c r="Y18" i="2"/>
  <c r="Z18" i="2"/>
  <c r="AA18" i="2"/>
  <c r="AB18" i="2"/>
  <c r="AC18" i="2"/>
  <c r="AD18" i="2"/>
  <c r="AE18" i="2"/>
  <c r="AG18" i="2"/>
  <c r="AH18" i="2"/>
  <c r="AI18" i="2"/>
  <c r="V19" i="2"/>
  <c r="W19" i="2"/>
  <c r="X19" i="2"/>
  <c r="Y19" i="2"/>
  <c r="Z19" i="2"/>
  <c r="AA19" i="2"/>
  <c r="AB19" i="2"/>
  <c r="AC19" i="2"/>
  <c r="AD19" i="2"/>
  <c r="AE19" i="2"/>
  <c r="AF19" i="2"/>
  <c r="AH19" i="2"/>
  <c r="AI19" i="2"/>
  <c r="V20" i="2"/>
  <c r="W20" i="2"/>
  <c r="X20" i="2"/>
  <c r="Y20" i="2"/>
  <c r="Z20" i="2"/>
  <c r="AA20" i="2"/>
  <c r="AB20" i="2"/>
  <c r="AC20" i="2"/>
  <c r="AD20" i="2"/>
  <c r="AE20" i="2"/>
  <c r="AF20" i="2"/>
  <c r="AG20" i="2"/>
  <c r="AI20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U8" i="2"/>
  <c r="U9" i="2"/>
  <c r="U10" i="2"/>
  <c r="U11" i="2"/>
  <c r="U12" i="2"/>
  <c r="U13" i="2"/>
  <c r="U14" i="2"/>
  <c r="U16" i="2"/>
  <c r="U17" i="2"/>
  <c r="U18" i="2"/>
  <c r="U19" i="2"/>
  <c r="U20" i="2"/>
  <c r="U21" i="2"/>
  <c r="T7" i="2"/>
  <c r="T8" i="2"/>
  <c r="T9" i="2"/>
  <c r="T10" i="2"/>
  <c r="T11" i="2"/>
  <c r="T12" i="2"/>
  <c r="T13" i="2"/>
  <c r="T14" i="2"/>
  <c r="T16" i="2"/>
  <c r="T17" i="2"/>
  <c r="T18" i="2"/>
  <c r="T20" i="2"/>
  <c r="T21" i="2"/>
  <c r="S7" i="2"/>
  <c r="S8" i="2"/>
  <c r="S9" i="2"/>
  <c r="S10" i="2"/>
  <c r="S11" i="2"/>
  <c r="S12" i="2"/>
  <c r="S13" i="2"/>
  <c r="S14" i="2"/>
  <c r="S16" i="2"/>
  <c r="S17" i="2"/>
  <c r="S18" i="2"/>
  <c r="S20" i="2"/>
  <c r="S21" i="2"/>
  <c r="R13" i="2"/>
  <c r="R14" i="2"/>
  <c r="R16" i="2"/>
  <c r="R17" i="2"/>
  <c r="R18" i="2"/>
  <c r="R20" i="2"/>
  <c r="R21" i="2"/>
  <c r="Q14" i="2"/>
  <c r="Q16" i="2"/>
  <c r="Q17" i="2"/>
  <c r="Q18" i="2"/>
  <c r="Q20" i="2"/>
  <c r="Q21" i="2"/>
  <c r="Q13" i="2"/>
  <c r="R8" i="2"/>
  <c r="R9" i="2"/>
  <c r="R10" i="2"/>
  <c r="R11" i="2"/>
  <c r="R12" i="2"/>
  <c r="R7" i="2"/>
  <c r="O8" i="2"/>
  <c r="O9" i="2"/>
  <c r="O10" i="2"/>
  <c r="O11" i="2"/>
  <c r="O12" i="2"/>
  <c r="O7" i="2"/>
  <c r="N14" i="2"/>
  <c r="O14" i="2" s="1"/>
  <c r="P14" i="2" s="1"/>
  <c r="N16" i="2"/>
  <c r="O16" i="2" s="1"/>
  <c r="P16" i="2" s="1"/>
  <c r="N17" i="2"/>
  <c r="O17" i="2" s="1"/>
  <c r="P17" i="2" s="1"/>
  <c r="N18" i="2"/>
  <c r="O18" i="2" s="1"/>
  <c r="P18" i="2" s="1"/>
  <c r="N19" i="2"/>
  <c r="O19" i="2" s="1"/>
  <c r="N20" i="2"/>
  <c r="O20" i="2" s="1"/>
  <c r="P20" i="2" s="1"/>
  <c r="N21" i="2"/>
  <c r="O21" i="2" s="1"/>
  <c r="P21" i="2" s="1"/>
  <c r="N13" i="2"/>
  <c r="O13" i="2" s="1"/>
  <c r="P13" i="2" s="1"/>
  <c r="N8" i="2"/>
  <c r="N9" i="2"/>
  <c r="N10" i="2"/>
  <c r="P10" i="2" s="1"/>
  <c r="N11" i="2"/>
  <c r="P11" i="2" s="1"/>
  <c r="N12" i="2"/>
  <c r="N7" i="2"/>
  <c r="P7" i="2" s="1"/>
  <c r="N27" i="2"/>
  <c r="O27" i="2" s="1"/>
  <c r="P27" i="2" s="1"/>
  <c r="Q27" i="2" s="1"/>
  <c r="R27" i="2" s="1"/>
  <c r="S27" i="2" s="1"/>
  <c r="T27" i="2" s="1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AE27" i="2" s="1"/>
  <c r="AF27" i="2" s="1"/>
  <c r="AG27" i="2" s="1"/>
  <c r="AH27" i="2" s="1"/>
  <c r="G50" i="2"/>
  <c r="G42" i="2"/>
  <c r="G40" i="2"/>
  <c r="L21" i="2"/>
  <c r="C50" i="2"/>
  <c r="L37" i="2"/>
  <c r="L38" i="2"/>
  <c r="L39" i="2"/>
  <c r="L40" i="2"/>
  <c r="L41" i="2"/>
  <c r="L42" i="2"/>
  <c r="L43" i="2"/>
  <c r="L45" i="2"/>
  <c r="L46" i="2"/>
  <c r="L47" i="2"/>
  <c r="L48" i="2"/>
  <c r="L36" i="2"/>
  <c r="K46" i="2"/>
  <c r="K47" i="2"/>
  <c r="K48" i="2"/>
  <c r="K42" i="2"/>
  <c r="K43" i="2"/>
  <c r="K44" i="2"/>
  <c r="K45" i="2"/>
  <c r="M15" i="2"/>
  <c r="L15" i="2" s="1"/>
  <c r="C42" i="2"/>
  <c r="C40" i="2"/>
  <c r="L14" i="2"/>
  <c r="L13" i="2"/>
  <c r="L19" i="2"/>
  <c r="L20" i="2"/>
  <c r="L18" i="2"/>
  <c r="L17" i="2"/>
  <c r="L16" i="2"/>
  <c r="L12" i="2"/>
  <c r="L11" i="2"/>
  <c r="L10" i="2"/>
  <c r="L9" i="2"/>
  <c r="L8" i="2"/>
  <c r="L7" i="2"/>
  <c r="C56" i="2"/>
  <c r="K8" i="2"/>
  <c r="K37" i="2" s="1"/>
  <c r="K9" i="2"/>
  <c r="K38" i="2" s="1"/>
  <c r="K10" i="2"/>
  <c r="K39" i="2" s="1"/>
  <c r="K11" i="2"/>
  <c r="K40" i="2" s="1"/>
  <c r="K12" i="2"/>
  <c r="K41" i="2" s="1"/>
  <c r="K7" i="2"/>
  <c r="K36" i="2" s="1"/>
  <c r="C25" i="2"/>
  <c r="C55" i="2"/>
  <c r="C23" i="2"/>
  <c r="C17" i="2"/>
  <c r="C18" i="2" s="1"/>
  <c r="C65" i="2" s="1"/>
  <c r="C12" i="2"/>
  <c r="C11" i="2"/>
  <c r="C10" i="2"/>
  <c r="C9" i="2"/>
  <c r="C8" i="2"/>
  <c r="C7" i="2"/>
  <c r="D6" i="2"/>
  <c r="E6" i="2" s="1"/>
  <c r="F6" i="2" s="1"/>
  <c r="G6" i="2" s="1"/>
  <c r="H6" i="2" s="1"/>
  <c r="L6" i="2"/>
  <c r="C64" i="2" l="1"/>
  <c r="R15" i="2"/>
  <c r="S15" i="2"/>
  <c r="AB15" i="2"/>
  <c r="N36" i="2" a="1"/>
  <c r="N36" i="2" s="1"/>
  <c r="S38" i="2"/>
  <c r="S39" i="2" s="1"/>
  <c r="S37" i="2"/>
  <c r="S36" i="2"/>
  <c r="S35" i="2"/>
  <c r="N15" i="2"/>
  <c r="O15" i="2" s="1"/>
  <c r="P15" i="2" s="1"/>
  <c r="Q15" i="2"/>
  <c r="Y15" i="2"/>
  <c r="X15" i="2"/>
  <c r="W15" i="2"/>
  <c r="U15" i="2"/>
  <c r="V15" i="2"/>
  <c r="L44" i="2"/>
  <c r="T15" i="2"/>
  <c r="AE15" i="2"/>
  <c r="AA15" i="2"/>
  <c r="AH15" i="2"/>
  <c r="AG15" i="2"/>
  <c r="AF15" i="2"/>
  <c r="AD15" i="2"/>
  <c r="AI15" i="2"/>
  <c r="Z15" i="2"/>
  <c r="G41" i="2"/>
  <c r="C41" i="2"/>
  <c r="B52" i="2" s="1"/>
  <c r="D10" i="2"/>
  <c r="E10" i="2" s="1"/>
  <c r="F10" i="2" s="1"/>
  <c r="G10" i="2" s="1"/>
  <c r="H10" i="2" s="1"/>
  <c r="I10" i="2" s="1"/>
  <c r="D11" i="2"/>
  <c r="E11" i="2" s="1"/>
  <c r="F11" i="2" s="1"/>
  <c r="G11" i="2" s="1"/>
  <c r="H11" i="2" s="1"/>
  <c r="I11" i="2" s="1"/>
  <c r="D12" i="2"/>
  <c r="E12" i="2" s="1"/>
  <c r="F12" i="2" s="1"/>
  <c r="G12" i="2" s="1"/>
  <c r="H12" i="2" s="1"/>
  <c r="I12" i="2" s="1"/>
  <c r="C22" i="2"/>
  <c r="D8" i="2"/>
  <c r="E8" i="2" s="1"/>
  <c r="F8" i="2" s="1"/>
  <c r="G8" i="2" s="1"/>
  <c r="H8" i="2" s="1"/>
  <c r="I8" i="2" s="1"/>
  <c r="D9" i="2"/>
  <c r="E9" i="2" s="1"/>
  <c r="F9" i="2" s="1"/>
  <c r="G9" i="2" s="1"/>
  <c r="H9" i="2" s="1"/>
  <c r="I9" i="2" s="1"/>
  <c r="D7" i="2"/>
  <c r="C24" i="2" l="1"/>
  <c r="C27" i="2" s="1"/>
  <c r="C67" i="2" s="1"/>
  <c r="D13" i="2"/>
  <c r="D61" i="2" s="1"/>
  <c r="D62" i="2" s="1"/>
  <c r="E7" i="2"/>
  <c r="C29" i="2" l="1"/>
  <c r="C69" i="2" s="1"/>
  <c r="D56" i="2"/>
  <c r="D26" i="2" s="1"/>
  <c r="D25" i="2"/>
  <c r="D23" i="2"/>
  <c r="D55" i="2"/>
  <c r="D14" i="2"/>
  <c r="D16" i="2"/>
  <c r="D17" i="2" s="1"/>
  <c r="E13" i="2"/>
  <c r="E61" i="2" s="1"/>
  <c r="E62" i="2" s="1"/>
  <c r="F7" i="2"/>
  <c r="D22" i="2" l="1"/>
  <c r="D24" i="2" s="1"/>
  <c r="D27" i="2" s="1"/>
  <c r="D67" i="2" s="1"/>
  <c r="D64" i="2"/>
  <c r="E23" i="2"/>
  <c r="E25" i="2"/>
  <c r="E55" i="2"/>
  <c r="E56" i="2"/>
  <c r="E26" i="2" s="1"/>
  <c r="E14" i="2"/>
  <c r="E16" i="2"/>
  <c r="E17" i="2" s="1"/>
  <c r="D18" i="2"/>
  <c r="D65" i="2" s="1"/>
  <c r="D19" i="2"/>
  <c r="F13" i="2"/>
  <c r="F61" i="2" s="1"/>
  <c r="F62" i="2" s="1"/>
  <c r="G7" i="2"/>
  <c r="E22" i="2" l="1"/>
  <c r="E24" i="2" s="1"/>
  <c r="E27" i="2" s="1"/>
  <c r="E67" i="2" s="1"/>
  <c r="E64" i="2"/>
  <c r="D30" i="2"/>
  <c r="C52" i="2"/>
  <c r="F23" i="2"/>
  <c r="F25" i="2"/>
  <c r="D29" i="2"/>
  <c r="D69" i="2" s="1"/>
  <c r="F55" i="2"/>
  <c r="F56" i="2"/>
  <c r="F26" i="2" s="1"/>
  <c r="F14" i="2"/>
  <c r="F16" i="2"/>
  <c r="F17" i="2" s="1"/>
  <c r="E18" i="2"/>
  <c r="E65" i="2" s="1"/>
  <c r="E19" i="2"/>
  <c r="G13" i="2"/>
  <c r="G61" i="2" s="1"/>
  <c r="G62" i="2" s="1"/>
  <c r="H7" i="2"/>
  <c r="F22" i="2" l="1"/>
  <c r="F24" i="2" s="1"/>
  <c r="F27" i="2" s="1"/>
  <c r="F67" i="2" s="1"/>
  <c r="F64" i="2"/>
  <c r="E30" i="2"/>
  <c r="D52" i="2"/>
  <c r="G23" i="2"/>
  <c r="G25" i="2"/>
  <c r="E29" i="2"/>
  <c r="E69" i="2" s="1"/>
  <c r="G55" i="2"/>
  <c r="G56" i="2"/>
  <c r="G26" i="2" s="1"/>
  <c r="G14" i="2"/>
  <c r="G16" i="2"/>
  <c r="G17" i="2" s="1"/>
  <c r="F19" i="2"/>
  <c r="F18" i="2"/>
  <c r="F65" i="2" s="1"/>
  <c r="H13" i="2"/>
  <c r="I7" i="2"/>
  <c r="G22" i="2" l="1"/>
  <c r="G24" i="2" s="1"/>
  <c r="G27" i="2" s="1"/>
  <c r="G67" i="2" s="1"/>
  <c r="G64" i="2"/>
  <c r="I13" i="2"/>
  <c r="H61" i="2"/>
  <c r="H62" i="2" s="1"/>
  <c r="F30" i="2"/>
  <c r="E52" i="2"/>
  <c r="H23" i="2"/>
  <c r="H25" i="2"/>
  <c r="F29" i="2"/>
  <c r="F69" i="2" s="1"/>
  <c r="H16" i="2"/>
  <c r="H17" i="2" s="1"/>
  <c r="H56" i="2"/>
  <c r="H26" i="2" s="1"/>
  <c r="H55" i="2"/>
  <c r="G18" i="2"/>
  <c r="G65" i="2" s="1"/>
  <c r="G19" i="2"/>
  <c r="H14" i="2"/>
  <c r="H18" i="2" l="1"/>
  <c r="H65" i="2" s="1"/>
  <c r="H64" i="2"/>
  <c r="G30" i="2"/>
  <c r="F52" i="2"/>
  <c r="G29" i="2"/>
  <c r="G69" i="2" s="1"/>
  <c r="I16" i="2"/>
  <c r="H19" i="2"/>
  <c r="I17" i="2"/>
  <c r="H22" i="2"/>
  <c r="I22" i="2" s="1"/>
  <c r="C37" i="2" l="1"/>
  <c r="H24" i="2"/>
  <c r="H27" i="2" s="1"/>
  <c r="H67" i="2" s="1"/>
  <c r="G37" i="2" l="1"/>
  <c r="I27" i="2"/>
  <c r="G36" i="2"/>
  <c r="C36" i="2"/>
  <c r="C39" i="2" s="1"/>
  <c r="L22" i="2" s="1"/>
  <c r="L28" i="2" s="1"/>
  <c r="G52" i="2"/>
  <c r="B53" i="2" s="1"/>
  <c r="L25" i="2" s="1"/>
  <c r="L31" i="2" s="1"/>
  <c r="H30" i="2"/>
  <c r="H29" i="2"/>
  <c r="H69" i="2" s="1"/>
  <c r="G39" i="2" l="1"/>
  <c r="G43" i="2" s="1"/>
  <c r="G45" i="2" s="1"/>
  <c r="H28" i="2"/>
  <c r="H68" i="2" s="1"/>
  <c r="C43" i="2"/>
  <c r="C28" i="2"/>
  <c r="C68" i="2" s="1"/>
  <c r="C38" i="2"/>
  <c r="D28" i="2"/>
  <c r="D68" i="2" s="1"/>
  <c r="E28" i="2"/>
  <c r="E68" i="2" s="1"/>
  <c r="F28" i="2"/>
  <c r="F68" i="2" s="1"/>
  <c r="G28" i="2"/>
  <c r="G68" i="2" s="1"/>
  <c r="G38" i="2" l="1"/>
  <c r="C45" i="2"/>
  <c r="C49" i="2" s="1"/>
  <c r="L24" i="2" s="1"/>
  <c r="L30" i="2" s="1"/>
  <c r="G49" i="2"/>
  <c r="L23" i="2" l="1"/>
  <c r="L29" i="2" s="1"/>
  <c r="O37" i="2"/>
  <c r="O47" i="2"/>
  <c r="O48" i="2"/>
  <c r="O40" i="2"/>
  <c r="O49" i="2"/>
  <c r="O42" i="2"/>
  <c r="O44" i="2"/>
  <c r="O46" i="2"/>
  <c r="O39" i="2"/>
  <c r="O45" i="2"/>
  <c r="O41" i="2"/>
  <c r="O43" i="2"/>
  <c r="O38" i="2"/>
  <c r="O3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<sst xmlns="http://schemas.openxmlformats.org/spreadsheetml/2006/main" count="118" uniqueCount="82">
  <si>
    <t>x</t>
  </si>
  <si>
    <t>Financials</t>
  </si>
  <si>
    <t>Year</t>
  </si>
  <si>
    <t>Growth %</t>
  </si>
  <si>
    <t>Assumptions</t>
  </si>
  <si>
    <t>Case</t>
  </si>
  <si>
    <t>Item</t>
  </si>
  <si>
    <t>Base</t>
  </si>
  <si>
    <t>Margin %</t>
  </si>
  <si>
    <t>D&amp;A</t>
  </si>
  <si>
    <t>EBITDA</t>
  </si>
  <si>
    <t>Capex</t>
  </si>
  <si>
    <t>Exit Multiple</t>
  </si>
  <si>
    <t>Cash Flow</t>
  </si>
  <si>
    <t>(-) Unlevered Taxes</t>
  </si>
  <si>
    <t>(-) Capex</t>
  </si>
  <si>
    <t>Yield</t>
  </si>
  <si>
    <t>Yield %</t>
  </si>
  <si>
    <t>Conversion %</t>
  </si>
  <si>
    <t>NWC</t>
  </si>
  <si>
    <t>FCF</t>
  </si>
  <si>
    <t>Upside</t>
  </si>
  <si>
    <t>Downside</t>
  </si>
  <si>
    <t>Growth</t>
  </si>
  <si>
    <t>Enterprise Value</t>
  </si>
  <si>
    <t>Discount Rate</t>
  </si>
  <si>
    <t>Variable</t>
  </si>
  <si>
    <t>Step</t>
  </si>
  <si>
    <t>Impact</t>
  </si>
  <si>
    <t>Margin Expansion</t>
  </si>
  <si>
    <t>Multiple Expansion</t>
  </si>
  <si>
    <t>Base Case</t>
  </si>
  <si>
    <t>Revenue</t>
  </si>
  <si>
    <t>Median</t>
  </si>
  <si>
    <t>N/A</t>
  </si>
  <si>
    <t>Local and Access</t>
  </si>
  <si>
    <t>Total</t>
  </si>
  <si>
    <t>Data</t>
  </si>
  <si>
    <t>Wireless</t>
  </si>
  <si>
    <t>Long Distance</t>
  </si>
  <si>
    <t>Terminal Sales</t>
  </si>
  <si>
    <t>Video Segment</t>
  </si>
  <si>
    <t>(-) Op Ex</t>
  </si>
  <si>
    <t>(-) Change in NWC</t>
  </si>
  <si>
    <t>(-) Benefits Cost</t>
  </si>
  <si>
    <t>Op EX</t>
  </si>
  <si>
    <t xml:space="preserve">Benefit Cost </t>
  </si>
  <si>
    <t>Taxes</t>
  </si>
  <si>
    <t>WYNTB</t>
  </si>
  <si>
    <t>Capitalization Table</t>
  </si>
  <si>
    <t>PV Cash Flows</t>
  </si>
  <si>
    <t>PV Terminal Value</t>
  </si>
  <si>
    <t>% of Terminal Value</t>
  </si>
  <si>
    <t>(-) Net Debt</t>
  </si>
  <si>
    <t>(-) Non Controlling Interest</t>
  </si>
  <si>
    <t>(-) Preferred Stock</t>
  </si>
  <si>
    <t>Equity Value</t>
  </si>
  <si>
    <t>S/O</t>
  </si>
  <si>
    <t>Implied Share Price</t>
  </si>
  <si>
    <t>Current Share Price</t>
  </si>
  <si>
    <t>Conversion</t>
  </si>
  <si>
    <t>Share Price</t>
  </si>
  <si>
    <t>Premium</t>
  </si>
  <si>
    <t>IRR</t>
  </si>
  <si>
    <t>Buyout</t>
  </si>
  <si>
    <t>Implied Buyout Premium to Fair</t>
  </si>
  <si>
    <t>Implied Buyout Premium to Current</t>
  </si>
  <si>
    <t>Perpetuity Growth Rate</t>
  </si>
  <si>
    <t>Perpetuity</t>
  </si>
  <si>
    <t>Sensitivity</t>
  </si>
  <si>
    <t>Offer Price</t>
  </si>
  <si>
    <t>Offer Premium</t>
  </si>
  <si>
    <t>5yr CAGR</t>
  </si>
  <si>
    <t>Key Financials</t>
  </si>
  <si>
    <t>Comparable Companies</t>
  </si>
  <si>
    <t>Manitoba Telecom Services</t>
  </si>
  <si>
    <t>Shaw Communications</t>
  </si>
  <si>
    <t>TELUS Corp</t>
  </si>
  <si>
    <t>2005 P/E</t>
  </si>
  <si>
    <t>2006 P/E</t>
  </si>
  <si>
    <t>Bell Corp</t>
  </si>
  <si>
    <t>OTPP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</si>
</sst>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yyyy"/>
    <numFmt numFmtId="165" formatCode="0.0%"/>
    <numFmt numFmtId="166" formatCode="_(* #,##0_);_(* \(#,##0\);_(* &quot;-&quot;??_);_(@_)"/>
    <numFmt numFmtId="167" formatCode="0.0\x"/>
    <numFmt numFmtId="168" formatCode="_(* #,##0.0_);_(* \(#,##0.0\);_(* &quot;-&quot;??_);_(@_)"/>
    <numFmt numFmtId="169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 val="singleAccounting"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laybill"/>
      <family val="5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1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3" fontId="2" fillId="0" borderId="0" xfId="1" applyFont="1"/>
    <xf numFmtId="168" fontId="2" fillId="0" borderId="0" xfId="1" applyNumberFormat="1" applyFont="1"/>
    <xf numFmtId="166" fontId="2" fillId="0" borderId="0" xfId="1" applyNumberFormat="1" applyFont="1"/>
    <xf numFmtId="166" fontId="5" fillId="0" borderId="0" xfId="1" applyNumberFormat="1" applyFont="1"/>
    <xf numFmtId="0" fontId="2" fillId="0" borderId="2" xfId="0" applyFont="1" applyBorder="1"/>
    <xf numFmtId="0" fontId="6" fillId="0" borderId="2" xfId="0" applyFont="1" applyBorder="1"/>
    <xf numFmtId="166" fontId="7" fillId="0" borderId="2" xfId="1" applyNumberFormat="1" applyFont="1" applyBorder="1"/>
    <xf numFmtId="166" fontId="2" fillId="0" borderId="0" xfId="0" applyNumberFormat="1" applyFont="1"/>
    <xf numFmtId="43" fontId="2" fillId="0" borderId="0" xfId="0" applyNumberFormat="1" applyFont="1"/>
    <xf numFmtId="0" fontId="2" fillId="0" borderId="3" xfId="0" applyFont="1" applyBorder="1"/>
    <xf numFmtId="0" fontId="2" fillId="0" borderId="1" xfId="0" applyFont="1" applyBorder="1"/>
    <xf numFmtId="0" fontId="6" fillId="0" borderId="1" xfId="0" applyFont="1" applyBorder="1"/>
    <xf numFmtId="0" fontId="8" fillId="0" borderId="0" xfId="0" applyFont="1" applyAlignment="1">
      <alignment horizontal="left" indent="1"/>
    </xf>
    <xf numFmtId="0" fontId="6" fillId="0" borderId="4" xfId="0" applyFont="1" applyBorder="1"/>
    <xf numFmtId="166" fontId="6" fillId="0" borderId="4" xfId="0" applyNumberFormat="1" applyFont="1" applyBorder="1"/>
    <xf numFmtId="165" fontId="2" fillId="0" borderId="0" xfId="2" applyNumberFormat="1" applyFont="1"/>
    <xf numFmtId="0" fontId="6" fillId="0" borderId="0" xfId="0" applyFont="1"/>
    <xf numFmtId="166" fontId="6" fillId="0" borderId="1" xfId="0" applyNumberFormat="1" applyFont="1" applyBorder="1"/>
    <xf numFmtId="0" fontId="2" fillId="0" borderId="1" xfId="0" applyFont="1" applyBorder="1" applyAlignment="1">
      <alignment horizontal="right"/>
    </xf>
    <xf numFmtId="9" fontId="2" fillId="0" borderId="0" xfId="0" applyNumberFormat="1" applyFont="1"/>
    <xf numFmtId="167" fontId="2" fillId="0" borderId="0" xfId="0" applyNumberFormat="1" applyFont="1"/>
    <xf numFmtId="9" fontId="2" fillId="0" borderId="0" xfId="2" applyFont="1"/>
    <xf numFmtId="165" fontId="8" fillId="0" borderId="0" xfId="2" applyNumberFormat="1" applyFont="1"/>
    <xf numFmtId="166" fontId="5" fillId="0" borderId="0" xfId="0" applyNumberFormat="1" applyFont="1"/>
    <xf numFmtId="8" fontId="2" fillId="0" borderId="0" xfId="0" applyNumberFormat="1" applyFont="1"/>
    <xf numFmtId="6" fontId="2" fillId="0" borderId="0" xfId="0" applyNumberFormat="1" applyFont="1"/>
    <xf numFmtId="6" fontId="6" fillId="0" borderId="2" xfId="0" applyNumberFormat="1" applyFont="1" applyBorder="1"/>
    <xf numFmtId="8" fontId="6" fillId="0" borderId="2" xfId="0" applyNumberFormat="1" applyFont="1" applyBorder="1"/>
    <xf numFmtId="9" fontId="2" fillId="0" borderId="1" xfId="2" applyFont="1" applyBorder="1"/>
    <xf numFmtId="9" fontId="2" fillId="0" borderId="1" xfId="0" applyNumberFormat="1" applyFont="1" applyBorder="1"/>
    <xf numFmtId="165" fontId="2" fillId="0" borderId="0" xfId="0" applyNumberFormat="1" applyFont="1"/>
    <xf numFmtId="0" fontId="9" fillId="2" borderId="0" xfId="0" applyFont="1" applyFill="1" applyAlignment="1">
      <alignment horizontal="center"/>
    </xf>
    <xf numFmtId="9" fontId="2" fillId="0" borderId="0" xfId="2" applyFont="1" applyBorder="1"/>
    <xf numFmtId="10" fontId="2" fillId="0" borderId="0" xfId="0" applyNumberFormat="1" applyFont="1"/>
    <xf numFmtId="165" fontId="2" fillId="0" borderId="1" xfId="0" applyNumberFormat="1" applyFont="1" applyBorder="1"/>
    <xf numFmtId="9" fontId="5" fillId="0" borderId="0" xfId="0" applyNumberFormat="1" applyFont="1"/>
    <xf numFmtId="165" fontId="5" fillId="0" borderId="0" xfId="0" applyNumberFormat="1" applyFont="1"/>
    <xf numFmtId="167" fontId="5" fillId="0" borderId="0" xfId="0" applyNumberFormat="1" applyFont="1"/>
    <xf numFmtId="165" fontId="5" fillId="0" borderId="1" xfId="0" applyNumberFormat="1" applyFont="1" applyBorder="1"/>
    <xf numFmtId="165" fontId="10" fillId="0" borderId="0" xfId="0" applyNumberFormat="1" applyFont="1"/>
    <xf numFmtId="0" fontId="11" fillId="0" borderId="0" xfId="0" applyFont="1"/>
    <xf numFmtId="165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9" xfId="0" applyFont="1" applyFill="1" applyBorder="1"/>
    <xf numFmtId="166" fontId="2" fillId="4" borderId="9" xfId="0" applyNumberFormat="1" applyFont="1" applyFill="1" applyBorder="1"/>
    <xf numFmtId="0" fontId="2" fillId="3" borderId="9" xfId="0" applyFont="1" applyFill="1" applyBorder="1"/>
    <xf numFmtId="166" fontId="2" fillId="3" borderId="9" xfId="0" applyNumberFormat="1" applyFont="1" applyFill="1" applyBorder="1"/>
    <xf numFmtId="166" fontId="10" fillId="0" borderId="0" xfId="1" applyNumberFormat="1" applyFont="1"/>
    <xf numFmtId="0" fontId="10" fillId="0" borderId="0" xfId="0" applyFont="1"/>
    <xf numFmtId="0" fontId="2" fillId="4" borderId="5" xfId="0" applyFont="1" applyFill="1" applyBorder="1"/>
    <xf numFmtId="165" fontId="2" fillId="4" borderId="6" xfId="2" applyNumberFormat="1" applyFont="1" applyFill="1" applyBorder="1"/>
    <xf numFmtId="0" fontId="2" fillId="4" borderId="7" xfId="0" applyFont="1" applyFill="1" applyBorder="1"/>
    <xf numFmtId="165" fontId="2" fillId="4" borderId="8" xfId="2" applyNumberFormat="1" applyFont="1" applyFill="1" applyBorder="1"/>
    <xf numFmtId="165" fontId="2" fillId="4" borderId="2" xfId="2" applyNumberFormat="1" applyFont="1" applyFill="1" applyBorder="1"/>
    <xf numFmtId="165" fontId="2" fillId="4" borderId="1" xfId="2" applyNumberFormat="1" applyFont="1" applyFill="1" applyBorder="1"/>
    <xf numFmtId="0" fontId="2" fillId="5" borderId="9" xfId="0" applyFont="1" applyFill="1" applyBorder="1"/>
    <xf numFmtId="169" fontId="2" fillId="4" borderId="9" xfId="0" applyNumberFormat="1" applyFont="1" applyFill="1" applyBorder="1"/>
    <xf numFmtId="167" fontId="2" fillId="4" borderId="9" xfId="0" applyNumberFormat="1" applyFont="1" applyFill="1" applyBorder="1"/>
    <xf numFmtId="167" fontId="2" fillId="5" borderId="9" xfId="0" applyNumberFormat="1" applyFont="1" applyFill="1" applyBorder="1"/>
    <xf numFmtId="167" fontId="2" fillId="3" borderId="9" xfId="0" applyNumberFormat="1" applyFont="1" applyFill="1" applyBorder="1"/>
    <xf numFmtId="0" fontId="2" fillId="5" borderId="9" xfId="0" applyFont="1" applyFill="1" applyBorder="1" applyAlignment="1">
      <alignment horizontal="right"/>
    </xf>
    <xf numFmtId="167" fontId="2" fillId="3" borderId="9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1C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Sheet2!$B$7</c:f>
              <c:strCache>
                <c:ptCount val="1"/>
                <c:pt idx="0">
                  <c:v>Local and Access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Sheet2!$C$6:$H$6</c:f>
              <c:numCache>
                <c:formatCode>yyyy</c:formatCode>
                <c:ptCount val="6"/>
                <c:pt idx="0">
                  <c:v>39082</c:v>
                </c:pt>
                <c:pt idx="1">
                  <c:v>39447</c:v>
                </c:pt>
                <c:pt idx="2">
                  <c:v>39812</c:v>
                </c:pt>
                <c:pt idx="3">
                  <c:v>40177</c:v>
                </c:pt>
                <c:pt idx="4">
                  <c:v>40542</c:v>
                </c:pt>
                <c:pt idx="5">
                  <c:v>40907</c:v>
                </c:pt>
              </c:numCache>
            </c:numRef>
          </c:cat>
          <c:val>
            <c:numRef>
              <c:f>Sheet2!$C$7:$H$7</c:f>
              <c:numCache>
                <c:formatCode>_(* #,##0_);_(* \(#,##0\);_(* "-"??_);_(@_)</c:formatCode>
                <c:ptCount val="6"/>
                <c:pt idx="0">
                  <c:v>5313.9</c:v>
                </c:pt>
                <c:pt idx="1">
                  <c:v>5048.204999999999</c:v>
                </c:pt>
                <c:pt idx="2">
                  <c:v>4795.7947499999991</c:v>
                </c:pt>
                <c:pt idx="3">
                  <c:v>4556.0050124999989</c:v>
                </c:pt>
                <c:pt idx="4">
                  <c:v>4328.2047618749984</c:v>
                </c:pt>
                <c:pt idx="5">
                  <c:v>4111.7945237812482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8-45AF-9BA6-FB42DEFBAE1F}"/>
            </c:ext>
          </c:extLst>
        </c:ser>
        <c:ser>
          <c:idx val="1"/>
          <c:order val="1"/>
          <c:tx>
            <c:strRef>
              <c:f>Sheet2!$B$8</c:f>
              <c:strCache>
                <c:ptCount val="1"/>
                <c:pt idx="0">
                  <c:v>Data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Sheet2!$C$6:$H$6</c:f>
              <c:numCache>
                <c:formatCode>yyyy</c:formatCode>
                <c:ptCount val="6"/>
                <c:pt idx="0">
                  <c:v>39082</c:v>
                </c:pt>
                <c:pt idx="1">
                  <c:v>39447</c:v>
                </c:pt>
                <c:pt idx="2">
                  <c:v>39812</c:v>
                </c:pt>
                <c:pt idx="3">
                  <c:v>40177</c:v>
                </c:pt>
                <c:pt idx="4">
                  <c:v>40542</c:v>
                </c:pt>
                <c:pt idx="5">
                  <c:v>40907</c:v>
                </c:pt>
              </c:numCache>
            </c:numRef>
          </c:cat>
          <c:val>
            <c:numRef>
              <c:f>Sheet2!$C$8:$H$8</c:f>
              <c:numCache>
                <c:formatCode>_(* #,##0_);_(* \(#,##0\);_(* "-"??_);_(@_)</c:formatCode>
                <c:ptCount val="6"/>
                <c:pt idx="0">
                  <c:v>4251.12</c:v>
                </c:pt>
                <c:pt idx="1">
                  <c:v>4463.6760000000004</c:v>
                </c:pt>
                <c:pt idx="2">
                  <c:v>4686.8598000000002</c:v>
                </c:pt>
                <c:pt idx="3">
                  <c:v>4921.2027900000003</c:v>
                </c:pt>
                <c:pt idx="4">
                  <c:v>5167.2629295000006</c:v>
                </c:pt>
                <c:pt idx="5">
                  <c:v>5425.6260759750012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8-45AF-9BA6-FB42DEFBAE1F}"/>
            </c:ext>
          </c:extLst>
        </c:ser>
        <c:ser>
          <c:idx val="2"/>
          <c:order val="2"/>
          <c:tx>
            <c:strRef>
              <c:f>Sheet2!$B$9</c:f>
              <c:strCache>
                <c:ptCount val="1"/>
                <c:pt idx="0">
                  <c:v>Wireless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Sheet2!$C$6:$H$6</c:f>
              <c:numCache>
                <c:formatCode>yyyy</c:formatCode>
                <c:ptCount val="6"/>
                <c:pt idx="0">
                  <c:v>39082</c:v>
                </c:pt>
                <c:pt idx="1">
                  <c:v>39447</c:v>
                </c:pt>
                <c:pt idx="2">
                  <c:v>39812</c:v>
                </c:pt>
                <c:pt idx="3">
                  <c:v>40177</c:v>
                </c:pt>
                <c:pt idx="4">
                  <c:v>40542</c:v>
                </c:pt>
                <c:pt idx="5">
                  <c:v>40907</c:v>
                </c:pt>
              </c:numCache>
            </c:numRef>
          </c:cat>
          <c:val>
            <c:numRef>
              <c:f>Sheet2!$C$9:$H$9</c:f>
              <c:numCache>
                <c:formatCode>_(* #,##0_);_(* \(#,##0\);_(* "-"??_);_(@_)</c:formatCode>
                <c:ptCount val="6"/>
                <c:pt idx="0">
                  <c:v>3542.6000000000004</c:v>
                </c:pt>
                <c:pt idx="1">
                  <c:v>3826.0080000000007</c:v>
                </c:pt>
                <c:pt idx="2">
                  <c:v>4132.0886400000009</c:v>
                </c:pt>
                <c:pt idx="3">
                  <c:v>4462.6557312000014</c:v>
                </c:pt>
                <c:pt idx="4">
                  <c:v>4819.6681896960017</c:v>
                </c:pt>
                <c:pt idx="5">
                  <c:v>5205.2416448716822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8-45AF-9BA6-FB42DEFBAE1F}"/>
            </c:ext>
          </c:extLst>
        </c:ser>
        <c:ser>
          <c:idx val="5"/>
          <c:order val="3"/>
          <c:tx>
            <c:strRef>
              <c:f>Sheet2!$B$12</c:f>
              <c:strCache>
                <c:ptCount val="1"/>
                <c:pt idx="0">
                  <c:v>Video Segment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Sheet2!$C$6:$H$6</c:f>
              <c:numCache>
                <c:formatCode>yyyy</c:formatCode>
                <c:ptCount val="6"/>
                <c:pt idx="0">
                  <c:v>39082</c:v>
                </c:pt>
                <c:pt idx="1">
                  <c:v>39447</c:v>
                </c:pt>
                <c:pt idx="2">
                  <c:v>39812</c:v>
                </c:pt>
                <c:pt idx="3">
                  <c:v>40177</c:v>
                </c:pt>
                <c:pt idx="4">
                  <c:v>40542</c:v>
                </c:pt>
                <c:pt idx="5">
                  <c:v>40907</c:v>
                </c:pt>
              </c:numCache>
            </c:numRef>
          </c:cat>
          <c:val>
            <c:numRef>
              <c:f>Sheet2!$C$12:$H$12</c:f>
              <c:numCache>
                <c:formatCode>_(* #,##0_);_(* \(#,##0\);_(* "-"??_);_(@_)</c:formatCode>
                <c:ptCount val="6"/>
                <c:pt idx="0">
                  <c:v>1239.9100000000001</c:v>
                </c:pt>
                <c:pt idx="1">
                  <c:v>1314.3046000000002</c:v>
                </c:pt>
                <c:pt idx="2">
                  <c:v>1393.1628760000003</c:v>
                </c:pt>
                <c:pt idx="3">
                  <c:v>1476.7526485600004</c:v>
                </c:pt>
                <c:pt idx="4">
                  <c:v>1565.3578074736004</c:v>
                </c:pt>
                <c:pt idx="5">
                  <c:v>1659.2792759220165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A8-45AF-9BA6-FB42DEFBAE1F}"/>
            </c:ext>
          </c:extLst>
        </c:ser>
        <c:ser>
          <c:idx val="3"/>
          <c:order val="4"/>
          <c:tx>
            <c:strRef>
              <c:f>Sheet2!$B$10</c:f>
              <c:strCache>
                <c:ptCount val="1"/>
                <c:pt idx="0">
                  <c:v>Long Distance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Sheet2!$C$6:$H$6</c:f>
              <c:numCache>
                <c:formatCode>yyyy</c:formatCode>
                <c:ptCount val="6"/>
                <c:pt idx="0">
                  <c:v>39082</c:v>
                </c:pt>
                <c:pt idx="1">
                  <c:v>39447</c:v>
                </c:pt>
                <c:pt idx="2">
                  <c:v>39812</c:v>
                </c:pt>
                <c:pt idx="3">
                  <c:v>40177</c:v>
                </c:pt>
                <c:pt idx="4">
                  <c:v>40542</c:v>
                </c:pt>
                <c:pt idx="5">
                  <c:v>40907</c:v>
                </c:pt>
              </c:numCache>
            </c:numRef>
          </c:cat>
          <c:val>
            <c:numRef>
              <c:f>Sheet2!$C$10:$H$10</c:f>
              <c:numCache>
                <c:formatCode>_(* #,##0_);_(* \(#,##0\);_(* "-"??_);_(@_)</c:formatCode>
                <c:ptCount val="6"/>
                <c:pt idx="0">
                  <c:v>1771.3000000000002</c:v>
                </c:pt>
                <c:pt idx="1">
                  <c:v>1682.7350000000001</c:v>
                </c:pt>
                <c:pt idx="2">
                  <c:v>1598.59825</c:v>
                </c:pt>
                <c:pt idx="3">
                  <c:v>1518.6683375</c:v>
                </c:pt>
                <c:pt idx="4">
                  <c:v>1442.7349206249999</c:v>
                </c:pt>
                <c:pt idx="5">
                  <c:v>1370.5981745937497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A8-45AF-9BA6-FB42DEFBAE1F}"/>
            </c:ext>
          </c:extLst>
        </c:ser>
        <c:ser>
          <c:idx val="4"/>
          <c:order val="5"/>
          <c:tx>
            <c:strRef>
              <c:f>Sheet2!$B$11</c:f>
              <c:strCache>
                <c:ptCount val="1"/>
                <c:pt idx="0">
                  <c:v>Terminal Sales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Sheet2!$C$6:$H$6</c:f>
              <c:numCache>
                <c:formatCode>yyyy</c:formatCode>
                <c:ptCount val="6"/>
                <c:pt idx="0">
                  <c:v>39082</c:v>
                </c:pt>
                <c:pt idx="1">
                  <c:v>39447</c:v>
                </c:pt>
                <c:pt idx="2">
                  <c:v>39812</c:v>
                </c:pt>
                <c:pt idx="3">
                  <c:v>40177</c:v>
                </c:pt>
                <c:pt idx="4">
                  <c:v>40542</c:v>
                </c:pt>
                <c:pt idx="5">
                  <c:v>40907</c:v>
                </c:pt>
              </c:numCache>
            </c:numRef>
          </c:cat>
          <c:val>
            <c:numRef>
              <c:f>Sheet2!$C$11:$H$11</c:f>
              <c:numCache>
                <c:formatCode>_(* #,##0_);_(* \(#,##0\);_(* "-"??_);_(@_)</c:formatCode>
                <c:ptCount val="6"/>
                <c:pt idx="0">
                  <c:v>1594.1699999999998</c:v>
                </c:pt>
                <c:pt idx="1">
                  <c:v>1514.4614999999999</c:v>
                </c:pt>
                <c:pt idx="2">
                  <c:v>1438.7384249999998</c:v>
                </c:pt>
                <c:pt idx="3">
                  <c:v>1366.8015037499997</c:v>
                </c:pt>
                <c:pt idx="4">
                  <c:v>1298.4614285624996</c:v>
                </c:pt>
                <c:pt idx="5">
                  <c:v>1233.5383571343746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A8-45AF-9BA6-FB42DEFBA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3279711"/>
        <c:axId val="1913282111"/>
      </c:barChart>
      <c:dateAx>
        <c:axId val="1913279711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282111"/>
        <c:crosses val="autoZero"/>
        <c:auto val="1"/>
        <c:lblOffset val="100"/>
        <c:baseTimeUnit val="years"/>
      </c:dateAx>
      <c:valAx>
        <c:axId val="1913282111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913279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C786A21B-E2F4-4F02-A809-A7DF68585213}">
          <cx:dataLabels pos="outEnd">
            <cx:visibility seriesName="0" categoryName="0" value="1"/>
          </cx:dataLabels>
          <cx:dataId val="0"/>
          <cx:layoutPr>
            <cx:subtotals>
              <cx:idx val="4"/>
              <cx:idx val="6"/>
            </cx:subtotals>
          </cx:layoutPr>
        </cx:series>
      </cx:plotAreaRegion>
      <cx:axis id="0">
        <cx:catScaling gapWidth="0.5"/>
        <cx:tickLabels/>
      </cx:axis>
      <cx:axis id="1" hidden="1">
        <cx:valScaling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194986</xdr:colOff>
      <xdr:row>52</xdr:row>
      <xdr:rowOff>138734</xdr:rowOff>
    </xdr:from>
    <xdr:to>
      <xdr:col>28</xdr:col>
      <xdr:colOff>133211</xdr:colOff>
      <xdr:row>76</xdr:row>
      <xdr:rowOff>45553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085F620-0F65-B2AF-51C7-0F8874B3D43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683464" y="8780256"/>
              <a:ext cx="5680834" cy="3910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1181478</xdr:colOff>
      <xdr:row>54</xdr:row>
      <xdr:rowOff>6073</xdr:rowOff>
    </xdr:from>
    <xdr:to>
      <xdr:col>18</xdr:col>
      <xdr:colOff>377205</xdr:colOff>
      <xdr:row>76</xdr:row>
      <xdr:rowOff>46244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FCD3EC-1859-3976-D9DD-EA5DB7D8D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71833-D5AD-49D4-8AAC-4570472EC775}">
  <dimension ref="A3:AM83"/>
  <sheetViews>
    <sheetView showGridLines="0" tabSelected="1" zoomScale="71" workbookViewId="0">
      <selection activeCell="T42" sqref="T42"/>
    </sheetView>
  </sheetViews>
  <sheetFormatPr defaultRowHeight="13" x14ac:dyDescent="0.3"/>
  <cols>
    <col min="1" max="1" width="1.6328125" style="1" customWidth="1"/>
    <col min="2" max="2" width="25.6328125" style="1" customWidth="1"/>
    <col min="3" max="9" width="10.6328125" style="1" customWidth="1"/>
    <col min="10" max="10" width="8.7265625" style="1"/>
    <col min="11" max="11" width="25.6328125" style="1" customWidth="1"/>
    <col min="12" max="21" width="10.6328125" style="1" customWidth="1"/>
    <col min="22" max="16384" width="8.7265625" style="1"/>
  </cols>
  <sheetData>
    <row r="3" spans="1:35" x14ac:dyDescent="0.3">
      <c r="A3" s="1" t="s">
        <v>0</v>
      </c>
      <c r="B3" s="2" t="s">
        <v>1</v>
      </c>
      <c r="C3" s="2"/>
      <c r="D3" s="2"/>
      <c r="E3" s="2"/>
      <c r="F3" s="2"/>
      <c r="G3" s="2"/>
      <c r="H3" s="2"/>
      <c r="I3" s="2"/>
      <c r="K3" s="2" t="s">
        <v>4</v>
      </c>
      <c r="L3" s="2"/>
      <c r="M3" s="2"/>
      <c r="N3" s="2"/>
      <c r="O3" s="2"/>
      <c r="P3" s="2"/>
      <c r="Q3" s="2"/>
    </row>
    <row r="4" spans="1:35" x14ac:dyDescent="0.3">
      <c r="L4" s="1" t="s">
        <v>5</v>
      </c>
    </row>
    <row r="5" spans="1:35" x14ac:dyDescent="0.3">
      <c r="L5" s="14">
        <v>1</v>
      </c>
    </row>
    <row r="6" spans="1:35" ht="14.5" x14ac:dyDescent="0.45">
      <c r="B6" s="3" t="s">
        <v>2</v>
      </c>
      <c r="C6" s="4">
        <v>39082</v>
      </c>
      <c r="D6" s="4">
        <f>C6+365</f>
        <v>39447</v>
      </c>
      <c r="E6" s="4">
        <f t="shared" ref="E6:H6" si="0">D6+365</f>
        <v>39812</v>
      </c>
      <c r="F6" s="4">
        <f t="shared" si="0"/>
        <v>40177</v>
      </c>
      <c r="G6" s="4">
        <f t="shared" si="0"/>
        <v>40542</v>
      </c>
      <c r="H6" s="4">
        <f t="shared" si="0"/>
        <v>40907</v>
      </c>
      <c r="I6" s="4" t="s">
        <v>72</v>
      </c>
      <c r="K6" s="15" t="s">
        <v>6</v>
      </c>
      <c r="L6" s="23" t="str">
        <f ca="1">OFFSET(L6,,$L$5)</f>
        <v>Base</v>
      </c>
      <c r="M6" s="23" t="s">
        <v>7</v>
      </c>
      <c r="N6" s="23" t="s">
        <v>21</v>
      </c>
      <c r="O6" s="23" t="s">
        <v>22</v>
      </c>
      <c r="P6" s="23" t="s">
        <v>48</v>
      </c>
      <c r="Q6" s="15" t="s">
        <v>16</v>
      </c>
      <c r="R6" s="15" t="s">
        <v>23</v>
      </c>
      <c r="S6" s="15" t="s">
        <v>29</v>
      </c>
      <c r="T6" s="15" t="s">
        <v>30</v>
      </c>
      <c r="U6" s="15" t="s">
        <v>69</v>
      </c>
    </row>
    <row r="7" spans="1:35" x14ac:dyDescent="0.3">
      <c r="B7" s="1" t="s">
        <v>35</v>
      </c>
      <c r="C7" s="8">
        <f>30%*C13</f>
        <v>5313.9</v>
      </c>
      <c r="D7" s="7">
        <f ca="1">C7*(1+$L7)</f>
        <v>5048.204999999999</v>
      </c>
      <c r="E7" s="7">
        <f t="shared" ref="E7:H7" ca="1" si="1">D7*(1+$L7)</f>
        <v>4795.7947499999991</v>
      </c>
      <c r="F7" s="7">
        <f t="shared" ca="1" si="1"/>
        <v>4556.0050124999989</v>
      </c>
      <c r="G7" s="7">
        <f t="shared" ca="1" si="1"/>
        <v>4328.2047618749984</v>
      </c>
      <c r="H7" s="7">
        <f t="shared" ca="1" si="1"/>
        <v>4111.7945237812482</v>
      </c>
      <c r="I7" s="46">
        <f ca="1">_xlfn.RRI(5,C7,H7)</f>
        <v>-5.0000000000000044E-2</v>
      </c>
      <c r="K7" s="1" t="str">
        <f>B7</f>
        <v>Local and Access</v>
      </c>
      <c r="L7" s="26">
        <f t="shared" ref="L7:L21" ca="1" si="2">OFFSET(L7,,$L$5)</f>
        <v>-0.05</v>
      </c>
      <c r="M7" s="24">
        <v>-0.05</v>
      </c>
      <c r="N7" s="38">
        <f>M7+2%</f>
        <v>-3.0000000000000002E-2</v>
      </c>
      <c r="O7" s="38">
        <f>M7-2%</f>
        <v>-7.0000000000000007E-2</v>
      </c>
      <c r="P7" s="38">
        <f>N7-2%</f>
        <v>-0.05</v>
      </c>
      <c r="Q7" s="24">
        <v>0</v>
      </c>
      <c r="R7" s="24">
        <f>$M7</f>
        <v>-0.05</v>
      </c>
      <c r="S7" s="24">
        <f>$M7</f>
        <v>-0.05</v>
      </c>
      <c r="T7" s="24">
        <f>$M7</f>
        <v>-0.05</v>
      </c>
      <c r="U7" s="40">
        <v>-0.04</v>
      </c>
      <c r="V7" s="24">
        <f t="shared" ref="V7:AI21" si="3">$M7</f>
        <v>-0.05</v>
      </c>
      <c r="W7" s="24">
        <f t="shared" si="3"/>
        <v>-0.05</v>
      </c>
      <c r="X7" s="24">
        <f t="shared" si="3"/>
        <v>-0.05</v>
      </c>
      <c r="Y7" s="24">
        <f t="shared" si="3"/>
        <v>-0.05</v>
      </c>
      <c r="Z7" s="24">
        <f t="shared" si="3"/>
        <v>-0.05</v>
      </c>
      <c r="AA7" s="24">
        <f t="shared" si="3"/>
        <v>-0.05</v>
      </c>
      <c r="AB7" s="24">
        <f t="shared" si="3"/>
        <v>-0.05</v>
      </c>
      <c r="AC7" s="24">
        <f t="shared" si="3"/>
        <v>-0.05</v>
      </c>
      <c r="AD7" s="24">
        <f t="shared" si="3"/>
        <v>-0.05</v>
      </c>
      <c r="AE7" s="24">
        <f t="shared" si="3"/>
        <v>-0.05</v>
      </c>
      <c r="AF7" s="24">
        <f t="shared" si="3"/>
        <v>-0.05</v>
      </c>
      <c r="AG7" s="24">
        <f t="shared" si="3"/>
        <v>-0.05</v>
      </c>
      <c r="AH7" s="24">
        <f t="shared" si="3"/>
        <v>-0.05</v>
      </c>
      <c r="AI7" s="24">
        <f t="shared" si="3"/>
        <v>-0.05</v>
      </c>
    </row>
    <row r="8" spans="1:35" x14ac:dyDescent="0.3">
      <c r="B8" s="1" t="s">
        <v>37</v>
      </c>
      <c r="C8" s="8">
        <f>24%*C13</f>
        <v>4251.12</v>
      </c>
      <c r="D8" s="7">
        <f t="shared" ref="D8:H11" ca="1" si="4">C8*(1+$L8)</f>
        <v>4463.6760000000004</v>
      </c>
      <c r="E8" s="7">
        <f t="shared" ca="1" si="4"/>
        <v>4686.8598000000002</v>
      </c>
      <c r="F8" s="7">
        <f t="shared" ca="1" si="4"/>
        <v>4921.2027900000003</v>
      </c>
      <c r="G8" s="7">
        <f t="shared" ca="1" si="4"/>
        <v>5167.2629295000006</v>
      </c>
      <c r="H8" s="7">
        <f t="shared" ca="1" si="4"/>
        <v>5425.6260759750012</v>
      </c>
      <c r="I8" s="46">
        <f t="shared" ref="I8:I13" ca="1" si="5">_xlfn.RRI(5,C8,H8)</f>
        <v>5.0000000000000044E-2</v>
      </c>
      <c r="K8" s="1" t="str">
        <f t="shared" ref="K8:K12" si="6">B8</f>
        <v>Data</v>
      </c>
      <c r="L8" s="26">
        <f t="shared" ca="1" si="2"/>
        <v>0.05</v>
      </c>
      <c r="M8" s="24">
        <v>0.05</v>
      </c>
      <c r="N8" s="38">
        <f t="shared" ref="N8:N12" si="7">M8+2%</f>
        <v>7.0000000000000007E-2</v>
      </c>
      <c r="O8" s="38">
        <f t="shared" ref="O8:P12" si="8">M8-2%</f>
        <v>3.0000000000000002E-2</v>
      </c>
      <c r="P8" s="38">
        <v>0.08</v>
      </c>
      <c r="Q8" s="24">
        <v>0</v>
      </c>
      <c r="R8" s="24">
        <f t="shared" ref="R8:AG21" si="9">$M8</f>
        <v>0.05</v>
      </c>
      <c r="S8" s="24">
        <f t="shared" si="9"/>
        <v>0.05</v>
      </c>
      <c r="T8" s="24">
        <f t="shared" si="9"/>
        <v>0.05</v>
      </c>
      <c r="U8" s="24">
        <f t="shared" si="9"/>
        <v>0.05</v>
      </c>
      <c r="V8" s="40">
        <v>0.06</v>
      </c>
      <c r="W8" s="24">
        <f t="shared" si="9"/>
        <v>0.05</v>
      </c>
      <c r="X8" s="24">
        <f t="shared" si="9"/>
        <v>0.05</v>
      </c>
      <c r="Y8" s="24">
        <f t="shared" si="9"/>
        <v>0.05</v>
      </c>
      <c r="Z8" s="24">
        <f t="shared" si="9"/>
        <v>0.05</v>
      </c>
      <c r="AA8" s="24">
        <f t="shared" si="9"/>
        <v>0.05</v>
      </c>
      <c r="AB8" s="24">
        <f t="shared" si="9"/>
        <v>0.05</v>
      </c>
      <c r="AC8" s="24">
        <f t="shared" si="9"/>
        <v>0.05</v>
      </c>
      <c r="AD8" s="24">
        <f t="shared" si="9"/>
        <v>0.05</v>
      </c>
      <c r="AE8" s="24">
        <f t="shared" si="9"/>
        <v>0.05</v>
      </c>
      <c r="AF8" s="24">
        <f t="shared" si="9"/>
        <v>0.05</v>
      </c>
      <c r="AG8" s="24">
        <f t="shared" si="9"/>
        <v>0.05</v>
      </c>
      <c r="AH8" s="24">
        <f t="shared" si="3"/>
        <v>0.05</v>
      </c>
      <c r="AI8" s="24">
        <f t="shared" si="3"/>
        <v>0.05</v>
      </c>
    </row>
    <row r="9" spans="1:35" x14ac:dyDescent="0.3">
      <c r="B9" s="1" t="s">
        <v>38</v>
      </c>
      <c r="C9" s="8">
        <f>20%*C13</f>
        <v>3542.6000000000004</v>
      </c>
      <c r="D9" s="7">
        <f t="shared" ca="1" si="4"/>
        <v>3826.0080000000007</v>
      </c>
      <c r="E9" s="7">
        <f t="shared" ca="1" si="4"/>
        <v>4132.0886400000009</v>
      </c>
      <c r="F9" s="7">
        <f t="shared" ca="1" si="4"/>
        <v>4462.6557312000014</v>
      </c>
      <c r="G9" s="7">
        <f t="shared" ca="1" si="4"/>
        <v>4819.6681896960017</v>
      </c>
      <c r="H9" s="7">
        <f t="shared" ca="1" si="4"/>
        <v>5205.2416448716822</v>
      </c>
      <c r="I9" s="46">
        <f t="shared" ca="1" si="5"/>
        <v>8.0000000000000071E-2</v>
      </c>
      <c r="K9" s="1" t="str">
        <f t="shared" si="6"/>
        <v>Wireless</v>
      </c>
      <c r="L9" s="26">
        <f t="shared" ca="1" si="2"/>
        <v>0.08</v>
      </c>
      <c r="M9" s="24">
        <v>0.08</v>
      </c>
      <c r="N9" s="38">
        <f t="shared" si="7"/>
        <v>0.1</v>
      </c>
      <c r="O9" s="38">
        <f t="shared" si="8"/>
        <v>0.06</v>
      </c>
      <c r="P9" s="38">
        <v>0.11</v>
      </c>
      <c r="Q9" s="24">
        <v>0</v>
      </c>
      <c r="R9" s="24">
        <f t="shared" si="9"/>
        <v>0.08</v>
      </c>
      <c r="S9" s="24">
        <f t="shared" si="9"/>
        <v>0.08</v>
      </c>
      <c r="T9" s="24">
        <f t="shared" si="9"/>
        <v>0.08</v>
      </c>
      <c r="U9" s="24">
        <f t="shared" si="9"/>
        <v>0.08</v>
      </c>
      <c r="V9" s="24">
        <f t="shared" si="3"/>
        <v>0.08</v>
      </c>
      <c r="W9" s="40">
        <v>0.09</v>
      </c>
      <c r="X9" s="24">
        <f t="shared" si="3"/>
        <v>0.08</v>
      </c>
      <c r="Y9" s="24">
        <f t="shared" si="3"/>
        <v>0.08</v>
      </c>
      <c r="Z9" s="24">
        <f t="shared" si="3"/>
        <v>0.08</v>
      </c>
      <c r="AA9" s="24">
        <f t="shared" si="3"/>
        <v>0.08</v>
      </c>
      <c r="AB9" s="24">
        <f t="shared" si="3"/>
        <v>0.08</v>
      </c>
      <c r="AC9" s="24">
        <f t="shared" si="3"/>
        <v>0.08</v>
      </c>
      <c r="AD9" s="24">
        <f t="shared" si="3"/>
        <v>0.08</v>
      </c>
      <c r="AE9" s="24">
        <f t="shared" si="3"/>
        <v>0.08</v>
      </c>
      <c r="AF9" s="24">
        <f t="shared" si="3"/>
        <v>0.08</v>
      </c>
      <c r="AG9" s="24">
        <f t="shared" si="3"/>
        <v>0.08</v>
      </c>
      <c r="AH9" s="24">
        <f t="shared" si="3"/>
        <v>0.08</v>
      </c>
      <c r="AI9" s="24">
        <f t="shared" si="3"/>
        <v>0.08</v>
      </c>
    </row>
    <row r="10" spans="1:35" x14ac:dyDescent="0.3">
      <c r="B10" s="1" t="s">
        <v>39</v>
      </c>
      <c r="C10" s="8">
        <f>10%*C13</f>
        <v>1771.3000000000002</v>
      </c>
      <c r="D10" s="7">
        <f t="shared" ca="1" si="4"/>
        <v>1682.7350000000001</v>
      </c>
      <c r="E10" s="7">
        <f t="shared" ca="1" si="4"/>
        <v>1598.59825</v>
      </c>
      <c r="F10" s="7">
        <f t="shared" ca="1" si="4"/>
        <v>1518.6683375</v>
      </c>
      <c r="G10" s="7">
        <f t="shared" ca="1" si="4"/>
        <v>1442.7349206249999</v>
      </c>
      <c r="H10" s="7">
        <f t="shared" ca="1" si="4"/>
        <v>1370.5981745937497</v>
      </c>
      <c r="I10" s="46">
        <f t="shared" ca="1" si="5"/>
        <v>-5.0000000000000044E-2</v>
      </c>
      <c r="K10" s="1" t="str">
        <f t="shared" si="6"/>
        <v>Long Distance</v>
      </c>
      <c r="L10" s="26">
        <f t="shared" ca="1" si="2"/>
        <v>-0.05</v>
      </c>
      <c r="M10" s="24">
        <v>-0.05</v>
      </c>
      <c r="N10" s="38">
        <f t="shared" si="7"/>
        <v>-3.0000000000000002E-2</v>
      </c>
      <c r="O10" s="38">
        <f t="shared" si="8"/>
        <v>-7.0000000000000007E-2</v>
      </c>
      <c r="P10" s="38">
        <f t="shared" si="8"/>
        <v>-0.05</v>
      </c>
      <c r="Q10" s="24">
        <v>0</v>
      </c>
      <c r="R10" s="24">
        <f t="shared" si="9"/>
        <v>-0.05</v>
      </c>
      <c r="S10" s="24">
        <f t="shared" si="9"/>
        <v>-0.05</v>
      </c>
      <c r="T10" s="24">
        <f t="shared" si="9"/>
        <v>-0.05</v>
      </c>
      <c r="U10" s="24">
        <f t="shared" si="9"/>
        <v>-0.05</v>
      </c>
      <c r="V10" s="24">
        <f t="shared" si="3"/>
        <v>-0.05</v>
      </c>
      <c r="W10" s="24">
        <f t="shared" si="3"/>
        <v>-0.05</v>
      </c>
      <c r="X10" s="40">
        <v>-0.04</v>
      </c>
      <c r="Y10" s="24">
        <f t="shared" si="3"/>
        <v>-0.05</v>
      </c>
      <c r="Z10" s="24">
        <f t="shared" si="3"/>
        <v>-0.05</v>
      </c>
      <c r="AA10" s="24">
        <f t="shared" si="3"/>
        <v>-0.05</v>
      </c>
      <c r="AB10" s="24">
        <f t="shared" si="3"/>
        <v>-0.05</v>
      </c>
      <c r="AC10" s="24">
        <f t="shared" si="3"/>
        <v>-0.05</v>
      </c>
      <c r="AD10" s="24">
        <f t="shared" si="3"/>
        <v>-0.05</v>
      </c>
      <c r="AE10" s="24">
        <f t="shared" si="3"/>
        <v>-0.05</v>
      </c>
      <c r="AF10" s="24">
        <f t="shared" si="3"/>
        <v>-0.05</v>
      </c>
      <c r="AG10" s="24">
        <f t="shared" si="3"/>
        <v>-0.05</v>
      </c>
      <c r="AH10" s="24">
        <f t="shared" si="3"/>
        <v>-0.05</v>
      </c>
      <c r="AI10" s="24">
        <f t="shared" si="3"/>
        <v>-0.05</v>
      </c>
    </row>
    <row r="11" spans="1:35" x14ac:dyDescent="0.3">
      <c r="B11" s="1" t="s">
        <v>40</v>
      </c>
      <c r="C11" s="8">
        <f>9%*C13</f>
        <v>1594.1699999999998</v>
      </c>
      <c r="D11" s="7">
        <f t="shared" ca="1" si="4"/>
        <v>1514.4614999999999</v>
      </c>
      <c r="E11" s="7">
        <f t="shared" ca="1" si="4"/>
        <v>1438.7384249999998</v>
      </c>
      <c r="F11" s="7">
        <f t="shared" ca="1" si="4"/>
        <v>1366.8015037499997</v>
      </c>
      <c r="G11" s="7">
        <f t="shared" ca="1" si="4"/>
        <v>1298.4614285624996</v>
      </c>
      <c r="H11" s="7">
        <f t="shared" ca="1" si="4"/>
        <v>1233.5383571343746</v>
      </c>
      <c r="I11" s="46">
        <f t="shared" ca="1" si="5"/>
        <v>-5.0000000000000044E-2</v>
      </c>
      <c r="K11" s="1" t="str">
        <f t="shared" si="6"/>
        <v>Terminal Sales</v>
      </c>
      <c r="L11" s="26">
        <f t="shared" ca="1" si="2"/>
        <v>-0.05</v>
      </c>
      <c r="M11" s="24">
        <v>-0.05</v>
      </c>
      <c r="N11" s="38">
        <f t="shared" si="7"/>
        <v>-3.0000000000000002E-2</v>
      </c>
      <c r="O11" s="38">
        <f t="shared" si="8"/>
        <v>-7.0000000000000007E-2</v>
      </c>
      <c r="P11" s="38">
        <f t="shared" si="8"/>
        <v>-0.05</v>
      </c>
      <c r="Q11" s="24">
        <v>0</v>
      </c>
      <c r="R11" s="24">
        <f t="shared" si="9"/>
        <v>-0.05</v>
      </c>
      <c r="S11" s="24">
        <f t="shared" si="9"/>
        <v>-0.05</v>
      </c>
      <c r="T11" s="24">
        <f t="shared" si="9"/>
        <v>-0.05</v>
      </c>
      <c r="U11" s="24">
        <f t="shared" si="9"/>
        <v>-0.05</v>
      </c>
      <c r="V11" s="24">
        <f t="shared" si="3"/>
        <v>-0.05</v>
      </c>
      <c r="W11" s="24">
        <f t="shared" si="3"/>
        <v>-0.05</v>
      </c>
      <c r="X11" s="24">
        <f t="shared" si="3"/>
        <v>-0.05</v>
      </c>
      <c r="Y11" s="40">
        <v>-0.04</v>
      </c>
      <c r="Z11" s="24">
        <f t="shared" si="3"/>
        <v>-0.05</v>
      </c>
      <c r="AA11" s="24">
        <f t="shared" si="3"/>
        <v>-0.05</v>
      </c>
      <c r="AB11" s="24">
        <f t="shared" si="3"/>
        <v>-0.05</v>
      </c>
      <c r="AC11" s="24">
        <f t="shared" si="3"/>
        <v>-0.05</v>
      </c>
      <c r="AD11" s="24">
        <f t="shared" si="3"/>
        <v>-0.05</v>
      </c>
      <c r="AE11" s="24">
        <f t="shared" si="3"/>
        <v>-0.05</v>
      </c>
      <c r="AF11" s="24">
        <f t="shared" si="3"/>
        <v>-0.05</v>
      </c>
      <c r="AG11" s="24">
        <f t="shared" si="3"/>
        <v>-0.05</v>
      </c>
      <c r="AH11" s="24">
        <f t="shared" si="3"/>
        <v>-0.05</v>
      </c>
      <c r="AI11" s="24">
        <f t="shared" si="3"/>
        <v>-0.05</v>
      </c>
    </row>
    <row r="12" spans="1:35" x14ac:dyDescent="0.3">
      <c r="B12" s="1" t="s">
        <v>41</v>
      </c>
      <c r="C12" s="8">
        <f>7%*C13</f>
        <v>1239.9100000000001</v>
      </c>
      <c r="D12" s="7">
        <f ca="1">C12*(1+$L12)</f>
        <v>1314.3046000000002</v>
      </c>
      <c r="E12" s="7">
        <f t="shared" ref="E12:H12" ca="1" si="10">D12*(1+$L12)</f>
        <v>1393.1628760000003</v>
      </c>
      <c r="F12" s="7">
        <f t="shared" ca="1" si="10"/>
        <v>1476.7526485600004</v>
      </c>
      <c r="G12" s="7">
        <f t="shared" ca="1" si="10"/>
        <v>1565.3578074736004</v>
      </c>
      <c r="H12" s="7">
        <f t="shared" ca="1" si="10"/>
        <v>1659.2792759220165</v>
      </c>
      <c r="I12" s="46">
        <f ca="1">_xlfn.RRI(5,C12,H12)</f>
        <v>6.0000000000000053E-2</v>
      </c>
      <c r="K12" s="1" t="str">
        <f t="shared" si="6"/>
        <v>Video Segment</v>
      </c>
      <c r="L12" s="26">
        <f t="shared" ca="1" si="2"/>
        <v>0.06</v>
      </c>
      <c r="M12" s="24">
        <v>0.06</v>
      </c>
      <c r="N12" s="38">
        <f t="shared" si="7"/>
        <v>0.08</v>
      </c>
      <c r="O12" s="38">
        <f t="shared" si="8"/>
        <v>3.9999999999999994E-2</v>
      </c>
      <c r="P12" s="38">
        <v>0.09</v>
      </c>
      <c r="Q12" s="24">
        <v>0</v>
      </c>
      <c r="R12" s="24">
        <f t="shared" si="9"/>
        <v>0.06</v>
      </c>
      <c r="S12" s="24">
        <f t="shared" si="9"/>
        <v>0.06</v>
      </c>
      <c r="T12" s="24">
        <f t="shared" si="9"/>
        <v>0.06</v>
      </c>
      <c r="U12" s="24">
        <f t="shared" si="9"/>
        <v>0.06</v>
      </c>
      <c r="V12" s="24">
        <f t="shared" si="3"/>
        <v>0.06</v>
      </c>
      <c r="W12" s="24">
        <f t="shared" si="3"/>
        <v>0.06</v>
      </c>
      <c r="X12" s="24">
        <f t="shared" si="3"/>
        <v>0.06</v>
      </c>
      <c r="Y12" s="24">
        <f t="shared" si="3"/>
        <v>0.06</v>
      </c>
      <c r="Z12" s="40">
        <v>7.0000000000000007E-2</v>
      </c>
      <c r="AA12" s="24">
        <f t="shared" si="3"/>
        <v>0.06</v>
      </c>
      <c r="AB12" s="24">
        <f t="shared" si="3"/>
        <v>0.06</v>
      </c>
      <c r="AC12" s="24">
        <f t="shared" si="3"/>
        <v>0.06</v>
      </c>
      <c r="AD12" s="24">
        <f t="shared" si="3"/>
        <v>0.06</v>
      </c>
      <c r="AE12" s="24">
        <f t="shared" si="3"/>
        <v>0.06</v>
      </c>
      <c r="AF12" s="24">
        <f t="shared" si="3"/>
        <v>0.06</v>
      </c>
      <c r="AG12" s="24">
        <f t="shared" si="3"/>
        <v>0.06</v>
      </c>
      <c r="AH12" s="24">
        <f t="shared" si="3"/>
        <v>0.06</v>
      </c>
      <c r="AI12" s="24">
        <f t="shared" si="3"/>
        <v>0.06</v>
      </c>
    </row>
    <row r="13" spans="1:35" x14ac:dyDescent="0.3">
      <c r="B13" s="10" t="s">
        <v>36</v>
      </c>
      <c r="C13" s="11">
        <v>17713</v>
      </c>
      <c r="D13" s="11">
        <f ca="1">SUM(D7:D12)</f>
        <v>17849.390100000001</v>
      </c>
      <c r="E13" s="11">
        <f t="shared" ref="E13:H13" ca="1" si="11">SUM(E7:E12)</f>
        <v>18045.242741000002</v>
      </c>
      <c r="F13" s="11">
        <f t="shared" ca="1" si="11"/>
        <v>18302.086023510001</v>
      </c>
      <c r="G13" s="11">
        <f t="shared" ca="1" si="11"/>
        <v>18621.6900377321</v>
      </c>
      <c r="H13" s="11">
        <f t="shared" ca="1" si="11"/>
        <v>19006.078052278073</v>
      </c>
      <c r="I13" s="46">
        <f t="shared" ca="1" si="5"/>
        <v>1.4191758712053026E-2</v>
      </c>
      <c r="K13" s="1" t="s">
        <v>45</v>
      </c>
      <c r="L13" s="26">
        <f t="shared" ca="1" si="2"/>
        <v>0.58499999999999996</v>
      </c>
      <c r="M13" s="20">
        <v>0.58499999999999996</v>
      </c>
      <c r="N13" s="35">
        <f>M13</f>
        <v>0.58499999999999996</v>
      </c>
      <c r="O13" s="35">
        <f>N13</f>
        <v>0.58499999999999996</v>
      </c>
      <c r="P13" s="35">
        <f>O13</f>
        <v>0.58499999999999996</v>
      </c>
      <c r="Q13" s="35">
        <f>$M13</f>
        <v>0.58499999999999996</v>
      </c>
      <c r="R13" s="35">
        <f>$M13</f>
        <v>0.58499999999999996</v>
      </c>
      <c r="S13" s="35">
        <f>$M13</f>
        <v>0.58499999999999996</v>
      </c>
      <c r="T13" s="35">
        <f>$M13</f>
        <v>0.58499999999999996</v>
      </c>
      <c r="U13" s="35">
        <f t="shared" si="9"/>
        <v>0.58499999999999996</v>
      </c>
      <c r="V13" s="35">
        <f t="shared" si="3"/>
        <v>0.58499999999999996</v>
      </c>
      <c r="W13" s="35">
        <f t="shared" si="3"/>
        <v>0.58499999999999996</v>
      </c>
      <c r="X13" s="35">
        <f t="shared" si="3"/>
        <v>0.58499999999999996</v>
      </c>
      <c r="Y13" s="35">
        <f t="shared" si="3"/>
        <v>0.58499999999999996</v>
      </c>
      <c r="Z13" s="35">
        <f t="shared" si="3"/>
        <v>0.58499999999999996</v>
      </c>
      <c r="AA13" s="41">
        <v>0.59499999999999997</v>
      </c>
      <c r="AB13" s="35">
        <f t="shared" si="3"/>
        <v>0.58499999999999996</v>
      </c>
      <c r="AC13" s="35">
        <f t="shared" si="3"/>
        <v>0.58499999999999996</v>
      </c>
      <c r="AD13" s="35">
        <f t="shared" si="3"/>
        <v>0.58499999999999996</v>
      </c>
      <c r="AE13" s="35">
        <f t="shared" si="3"/>
        <v>0.58499999999999996</v>
      </c>
      <c r="AF13" s="35">
        <f t="shared" si="3"/>
        <v>0.58499999999999996</v>
      </c>
      <c r="AG13" s="35">
        <f t="shared" si="3"/>
        <v>0.58499999999999996</v>
      </c>
      <c r="AH13" s="35">
        <f t="shared" si="3"/>
        <v>0.58499999999999996</v>
      </c>
      <c r="AI13" s="35">
        <f t="shared" si="3"/>
        <v>0.58499999999999996</v>
      </c>
    </row>
    <row r="14" spans="1:35" x14ac:dyDescent="0.3">
      <c r="B14" s="17" t="s">
        <v>3</v>
      </c>
      <c r="D14" s="27">
        <f ca="1">D13/C13-1</f>
        <v>7.7000000000000401E-3</v>
      </c>
      <c r="E14" s="27">
        <f t="shared" ref="E14:H14" ca="1" si="12">E13/D13-1</f>
        <v>1.09725116602164E-2</v>
      </c>
      <c r="F14" s="27">
        <f t="shared" ca="1" si="12"/>
        <v>1.4233296065695678E-2</v>
      </c>
      <c r="G14" s="27">
        <f t="shared" ca="1" si="12"/>
        <v>1.7462709650230668E-2</v>
      </c>
      <c r="H14" s="27">
        <f t="shared" ca="1" si="12"/>
        <v>2.0641951067121633E-2</v>
      </c>
      <c r="I14" s="47"/>
      <c r="K14" s="1" t="s">
        <v>46</v>
      </c>
      <c r="L14" s="26">
        <f t="shared" ca="1" si="2"/>
        <v>0.03</v>
      </c>
      <c r="M14" s="20">
        <v>0.03</v>
      </c>
      <c r="N14" s="35">
        <f t="shared" ref="N14:O21" si="13">M14</f>
        <v>0.03</v>
      </c>
      <c r="O14" s="35">
        <f t="shared" si="13"/>
        <v>0.03</v>
      </c>
      <c r="P14" s="35">
        <f t="shared" ref="P14" si="14">O14</f>
        <v>0.03</v>
      </c>
      <c r="Q14" s="35">
        <f t="shared" ref="Q14:T21" si="15">$M14</f>
        <v>0.03</v>
      </c>
      <c r="R14" s="35">
        <f t="shared" si="15"/>
        <v>0.03</v>
      </c>
      <c r="S14" s="35">
        <f t="shared" si="15"/>
        <v>0.03</v>
      </c>
      <c r="T14" s="35">
        <f t="shared" si="15"/>
        <v>0.03</v>
      </c>
      <c r="U14" s="35">
        <f t="shared" si="9"/>
        <v>0.03</v>
      </c>
      <c r="V14" s="35">
        <f t="shared" si="3"/>
        <v>0.03</v>
      </c>
      <c r="W14" s="35">
        <f t="shared" si="3"/>
        <v>0.03</v>
      </c>
      <c r="X14" s="35">
        <f t="shared" si="3"/>
        <v>0.03</v>
      </c>
      <c r="Y14" s="35">
        <f t="shared" si="3"/>
        <v>0.03</v>
      </c>
      <c r="Z14" s="35">
        <f t="shared" si="3"/>
        <v>0.03</v>
      </c>
      <c r="AA14" s="35">
        <f t="shared" si="3"/>
        <v>0.03</v>
      </c>
      <c r="AB14" s="41">
        <v>0.04</v>
      </c>
      <c r="AC14" s="35">
        <f t="shared" si="3"/>
        <v>0.03</v>
      </c>
      <c r="AD14" s="35">
        <f t="shared" si="3"/>
        <v>0.03</v>
      </c>
      <c r="AE14" s="35">
        <f t="shared" si="3"/>
        <v>0.03</v>
      </c>
      <c r="AF14" s="35">
        <f t="shared" si="3"/>
        <v>0.03</v>
      </c>
      <c r="AG14" s="35">
        <f t="shared" si="3"/>
        <v>0.03</v>
      </c>
      <c r="AH14" s="35">
        <f t="shared" si="3"/>
        <v>0.03</v>
      </c>
      <c r="AI14" s="35">
        <f t="shared" si="3"/>
        <v>0.03</v>
      </c>
    </row>
    <row r="15" spans="1:35" x14ac:dyDescent="0.3">
      <c r="I15" s="47"/>
      <c r="K15" s="1" t="s">
        <v>47</v>
      </c>
      <c r="L15" s="26">
        <f t="shared" ca="1" si="2"/>
        <v>0.28377110694183866</v>
      </c>
      <c r="M15" s="24">
        <f>605/2132</f>
        <v>0.28377110694183866</v>
      </c>
      <c r="N15" s="35">
        <f t="shared" si="13"/>
        <v>0.28377110694183866</v>
      </c>
      <c r="O15" s="35">
        <f t="shared" si="13"/>
        <v>0.28377110694183866</v>
      </c>
      <c r="P15" s="35">
        <f t="shared" ref="P15" si="16">O15</f>
        <v>0.28377110694183866</v>
      </c>
      <c r="Q15" s="35">
        <f t="shared" si="15"/>
        <v>0.28377110694183866</v>
      </c>
      <c r="R15" s="35">
        <f t="shared" si="15"/>
        <v>0.28377110694183866</v>
      </c>
      <c r="S15" s="35">
        <f t="shared" si="15"/>
        <v>0.28377110694183866</v>
      </c>
      <c r="T15" s="35">
        <f t="shared" si="15"/>
        <v>0.28377110694183866</v>
      </c>
      <c r="U15" s="35">
        <f t="shared" si="9"/>
        <v>0.28377110694183866</v>
      </c>
      <c r="V15" s="35">
        <f t="shared" si="3"/>
        <v>0.28377110694183866</v>
      </c>
      <c r="W15" s="35">
        <f t="shared" si="3"/>
        <v>0.28377110694183866</v>
      </c>
      <c r="X15" s="35">
        <f t="shared" si="3"/>
        <v>0.28377110694183866</v>
      </c>
      <c r="Y15" s="35">
        <f t="shared" si="3"/>
        <v>0.28377110694183866</v>
      </c>
      <c r="Z15" s="35">
        <f t="shared" si="3"/>
        <v>0.28377110694183866</v>
      </c>
      <c r="AA15" s="35">
        <f t="shared" si="3"/>
        <v>0.28377110694183866</v>
      </c>
      <c r="AB15" s="35">
        <f t="shared" si="3"/>
        <v>0.28377110694183866</v>
      </c>
      <c r="AC15" s="41">
        <v>0.29499999999999998</v>
      </c>
      <c r="AD15" s="35">
        <f t="shared" si="3"/>
        <v>0.28377110694183866</v>
      </c>
      <c r="AE15" s="35">
        <f t="shared" si="3"/>
        <v>0.28377110694183866</v>
      </c>
      <c r="AF15" s="35">
        <f t="shared" si="3"/>
        <v>0.28377110694183866</v>
      </c>
      <c r="AG15" s="35">
        <f t="shared" si="3"/>
        <v>0.28377110694183866</v>
      </c>
      <c r="AH15" s="35">
        <f t="shared" si="3"/>
        <v>0.28377110694183866</v>
      </c>
      <c r="AI15" s="35">
        <f t="shared" si="3"/>
        <v>0.28377110694183866</v>
      </c>
    </row>
    <row r="16" spans="1:35" x14ac:dyDescent="0.3">
      <c r="B16" s="1" t="s">
        <v>42</v>
      </c>
      <c r="C16" s="8">
        <v>-10384</v>
      </c>
      <c r="D16" s="7">
        <f ca="1">-D13*$L$13</f>
        <v>-10441.8932085</v>
      </c>
      <c r="E16" s="7">
        <f t="shared" ref="E16:H16" ca="1" si="17">-E13*$L$13</f>
        <v>-10556.467003485001</v>
      </c>
      <c r="F16" s="7">
        <f t="shared" ca="1" si="17"/>
        <v>-10706.72032375335</v>
      </c>
      <c r="G16" s="7">
        <f t="shared" ca="1" si="17"/>
        <v>-10893.688672073278</v>
      </c>
      <c r="H16" s="7">
        <f t="shared" ca="1" si="17"/>
        <v>-11118.555660582671</v>
      </c>
      <c r="I16" s="46">
        <f t="shared" ref="I16:I17" ca="1" si="18">_xlfn.RRI(5,C16,H16)</f>
        <v>1.3763706306721524E-2</v>
      </c>
      <c r="K16" s="1" t="s">
        <v>9</v>
      </c>
      <c r="L16" s="26">
        <f t="shared" ca="1" si="2"/>
        <v>0.18</v>
      </c>
      <c r="M16" s="24">
        <v>0.18</v>
      </c>
      <c r="N16" s="35">
        <f t="shared" si="13"/>
        <v>0.18</v>
      </c>
      <c r="O16" s="35">
        <f t="shared" si="13"/>
        <v>0.18</v>
      </c>
      <c r="P16" s="35">
        <f t="shared" ref="P16" si="19">O16</f>
        <v>0.18</v>
      </c>
      <c r="Q16" s="35">
        <f t="shared" si="15"/>
        <v>0.18</v>
      </c>
      <c r="R16" s="35">
        <f t="shared" si="15"/>
        <v>0.18</v>
      </c>
      <c r="S16" s="35">
        <f t="shared" si="15"/>
        <v>0.18</v>
      </c>
      <c r="T16" s="35">
        <f t="shared" si="15"/>
        <v>0.18</v>
      </c>
      <c r="U16" s="35">
        <f t="shared" si="9"/>
        <v>0.18</v>
      </c>
      <c r="V16" s="35">
        <f t="shared" si="3"/>
        <v>0.18</v>
      </c>
      <c r="W16" s="35">
        <f t="shared" si="3"/>
        <v>0.18</v>
      </c>
      <c r="X16" s="35">
        <f t="shared" si="3"/>
        <v>0.18</v>
      </c>
      <c r="Y16" s="35">
        <f t="shared" si="3"/>
        <v>0.18</v>
      </c>
      <c r="Z16" s="35">
        <f t="shared" si="3"/>
        <v>0.18</v>
      </c>
      <c r="AA16" s="35">
        <f t="shared" si="3"/>
        <v>0.18</v>
      </c>
      <c r="AB16" s="35">
        <f t="shared" si="3"/>
        <v>0.18</v>
      </c>
      <c r="AC16" s="35">
        <f t="shared" si="3"/>
        <v>0.18</v>
      </c>
      <c r="AD16" s="41">
        <v>0.19</v>
      </c>
      <c r="AE16" s="35">
        <f t="shared" si="3"/>
        <v>0.18</v>
      </c>
      <c r="AF16" s="35">
        <f t="shared" si="3"/>
        <v>0.18</v>
      </c>
      <c r="AG16" s="35">
        <f t="shared" si="3"/>
        <v>0.18</v>
      </c>
      <c r="AH16" s="35">
        <f t="shared" si="3"/>
        <v>0.18</v>
      </c>
      <c r="AI16" s="35">
        <f t="shared" si="3"/>
        <v>0.18</v>
      </c>
    </row>
    <row r="17" spans="1:39" ht="13.5" thickBot="1" x14ac:dyDescent="0.35">
      <c r="B17" s="18" t="s">
        <v>10</v>
      </c>
      <c r="C17" s="19">
        <f>SUM(C16,C13)</f>
        <v>7329</v>
      </c>
      <c r="D17" s="19">
        <f ca="1">SUM(D16,D13)</f>
        <v>7407.4968915000009</v>
      </c>
      <c r="E17" s="19">
        <f t="shared" ref="E17:H17" ca="1" si="20">SUM(E16,E13)</f>
        <v>7488.7757375150013</v>
      </c>
      <c r="F17" s="19">
        <f t="shared" ca="1" si="20"/>
        <v>7595.3656997566504</v>
      </c>
      <c r="G17" s="19">
        <f t="shared" ca="1" si="20"/>
        <v>7728.0013656588217</v>
      </c>
      <c r="H17" s="19">
        <f t="shared" ca="1" si="20"/>
        <v>7887.5223916954019</v>
      </c>
      <c r="I17" s="46">
        <f t="shared" ca="1" si="18"/>
        <v>1.4797004738675401E-2</v>
      </c>
      <c r="K17" s="1" t="s">
        <v>11</v>
      </c>
      <c r="L17" s="26">
        <f t="shared" ca="1" si="2"/>
        <v>0.18</v>
      </c>
      <c r="M17" s="24">
        <v>0.18</v>
      </c>
      <c r="N17" s="35">
        <f t="shared" si="13"/>
        <v>0.18</v>
      </c>
      <c r="O17" s="35">
        <f t="shared" si="13"/>
        <v>0.18</v>
      </c>
      <c r="P17" s="35">
        <f t="shared" ref="P17" si="21">O17</f>
        <v>0.18</v>
      </c>
      <c r="Q17" s="35">
        <f t="shared" si="15"/>
        <v>0.18</v>
      </c>
      <c r="R17" s="35">
        <f t="shared" si="15"/>
        <v>0.18</v>
      </c>
      <c r="S17" s="35">
        <f t="shared" si="15"/>
        <v>0.18</v>
      </c>
      <c r="T17" s="35">
        <f t="shared" si="15"/>
        <v>0.18</v>
      </c>
      <c r="U17" s="35">
        <f t="shared" si="9"/>
        <v>0.18</v>
      </c>
      <c r="V17" s="35">
        <f t="shared" si="3"/>
        <v>0.18</v>
      </c>
      <c r="W17" s="35">
        <f t="shared" si="3"/>
        <v>0.18</v>
      </c>
      <c r="X17" s="35">
        <f t="shared" si="3"/>
        <v>0.18</v>
      </c>
      <c r="Y17" s="35">
        <f t="shared" si="3"/>
        <v>0.18</v>
      </c>
      <c r="Z17" s="35">
        <f t="shared" si="3"/>
        <v>0.18</v>
      </c>
      <c r="AA17" s="35">
        <f t="shared" si="3"/>
        <v>0.18</v>
      </c>
      <c r="AB17" s="35">
        <f t="shared" si="3"/>
        <v>0.18</v>
      </c>
      <c r="AC17" s="35">
        <f t="shared" si="3"/>
        <v>0.18</v>
      </c>
      <c r="AD17" s="35">
        <f t="shared" si="3"/>
        <v>0.18</v>
      </c>
      <c r="AE17" s="41">
        <v>0.19</v>
      </c>
      <c r="AF17" s="35">
        <f t="shared" si="3"/>
        <v>0.18</v>
      </c>
      <c r="AG17" s="35">
        <f t="shared" si="3"/>
        <v>0.18</v>
      </c>
      <c r="AH17" s="35">
        <f t="shared" si="3"/>
        <v>0.18</v>
      </c>
      <c r="AI17" s="35">
        <f t="shared" si="3"/>
        <v>0.18</v>
      </c>
    </row>
    <row r="18" spans="1:39" x14ac:dyDescent="0.3">
      <c r="B18" s="17" t="s">
        <v>8</v>
      </c>
      <c r="C18" s="27">
        <f>C17/C13</f>
        <v>0.4137639022187094</v>
      </c>
      <c r="D18" s="27">
        <f ca="1">D17/D13</f>
        <v>0.41500000000000004</v>
      </c>
      <c r="E18" s="27">
        <f t="shared" ref="E18:H18" ca="1" si="22">E17/E13</f>
        <v>0.41500000000000004</v>
      </c>
      <c r="F18" s="27">
        <f t="shared" ca="1" si="22"/>
        <v>0.41499999999999998</v>
      </c>
      <c r="G18" s="27">
        <f t="shared" ca="1" si="22"/>
        <v>0.41500000000000004</v>
      </c>
      <c r="H18" s="27">
        <f t="shared" ca="1" si="22"/>
        <v>0.41500000000000009</v>
      </c>
      <c r="I18" s="47"/>
      <c r="K18" s="1" t="s">
        <v>19</v>
      </c>
      <c r="L18" s="26">
        <f t="shared" ca="1" si="2"/>
        <v>0.04</v>
      </c>
      <c r="M18" s="24">
        <v>0.04</v>
      </c>
      <c r="N18" s="35">
        <f t="shared" si="13"/>
        <v>0.04</v>
      </c>
      <c r="O18" s="35">
        <f t="shared" si="13"/>
        <v>0.04</v>
      </c>
      <c r="P18" s="35">
        <f t="shared" ref="P18" si="23">O18</f>
        <v>0.04</v>
      </c>
      <c r="Q18" s="35">
        <f t="shared" si="15"/>
        <v>0.04</v>
      </c>
      <c r="R18" s="35">
        <f t="shared" si="15"/>
        <v>0.04</v>
      </c>
      <c r="S18" s="35">
        <f t="shared" si="15"/>
        <v>0.04</v>
      </c>
      <c r="T18" s="35">
        <f t="shared" si="15"/>
        <v>0.04</v>
      </c>
      <c r="U18" s="35">
        <f t="shared" si="9"/>
        <v>0.04</v>
      </c>
      <c r="V18" s="35">
        <f t="shared" si="3"/>
        <v>0.04</v>
      </c>
      <c r="W18" s="35">
        <f t="shared" si="3"/>
        <v>0.04</v>
      </c>
      <c r="X18" s="35">
        <f t="shared" si="3"/>
        <v>0.04</v>
      </c>
      <c r="Y18" s="35">
        <f t="shared" si="3"/>
        <v>0.04</v>
      </c>
      <c r="Z18" s="35">
        <f t="shared" si="3"/>
        <v>0.04</v>
      </c>
      <c r="AA18" s="35">
        <f t="shared" si="3"/>
        <v>0.04</v>
      </c>
      <c r="AB18" s="35">
        <f t="shared" si="3"/>
        <v>0.04</v>
      </c>
      <c r="AC18" s="35">
        <f t="shared" si="3"/>
        <v>0.04</v>
      </c>
      <c r="AD18" s="35">
        <f t="shared" si="3"/>
        <v>0.04</v>
      </c>
      <c r="AE18" s="44">
        <f t="shared" si="3"/>
        <v>0.04</v>
      </c>
      <c r="AF18" s="41">
        <v>0.05</v>
      </c>
      <c r="AG18" s="35">
        <f t="shared" si="3"/>
        <v>0.04</v>
      </c>
      <c r="AH18" s="35">
        <f t="shared" si="3"/>
        <v>0.04</v>
      </c>
      <c r="AI18" s="35">
        <f t="shared" si="3"/>
        <v>0.04</v>
      </c>
    </row>
    <row r="19" spans="1:39" s="25" customFormat="1" x14ac:dyDescent="0.3">
      <c r="A19" s="1"/>
      <c r="B19" s="17" t="s">
        <v>3</v>
      </c>
      <c r="C19" s="1"/>
      <c r="D19" s="27">
        <f ca="1">D17/C17-1</f>
        <v>1.0710450470732713E-2</v>
      </c>
      <c r="E19" s="27">
        <f t="shared" ref="E19:H19" ca="1" si="24">E17/D17-1</f>
        <v>1.09725116602164E-2</v>
      </c>
      <c r="F19" s="27">
        <f t="shared" ca="1" si="24"/>
        <v>1.4233296065695678E-2</v>
      </c>
      <c r="G19" s="27">
        <f t="shared" ca="1" si="24"/>
        <v>1.7462709650230668E-2</v>
      </c>
      <c r="H19" s="27">
        <f t="shared" ca="1" si="24"/>
        <v>2.0641951067121855E-2</v>
      </c>
      <c r="I19" s="47"/>
      <c r="J19" s="1"/>
      <c r="K19" s="1" t="s">
        <v>12</v>
      </c>
      <c r="L19" s="25">
        <f t="shared" ca="1" si="2"/>
        <v>6</v>
      </c>
      <c r="M19" s="25">
        <v>6</v>
      </c>
      <c r="N19" s="25">
        <f t="shared" si="13"/>
        <v>6</v>
      </c>
      <c r="O19" s="25">
        <f t="shared" si="13"/>
        <v>6</v>
      </c>
      <c r="P19" s="25">
        <v>6.5</v>
      </c>
      <c r="Q19" s="25">
        <v>5.5</v>
      </c>
      <c r="R19" s="25">
        <v>5.5</v>
      </c>
      <c r="S19" s="25">
        <v>5.5</v>
      </c>
      <c r="T19" s="25">
        <v>6</v>
      </c>
      <c r="U19" s="25">
        <f t="shared" si="9"/>
        <v>6</v>
      </c>
      <c r="V19" s="25">
        <f t="shared" si="3"/>
        <v>6</v>
      </c>
      <c r="W19" s="25">
        <f t="shared" si="3"/>
        <v>6</v>
      </c>
      <c r="X19" s="25">
        <f t="shared" si="3"/>
        <v>6</v>
      </c>
      <c r="Y19" s="25">
        <f t="shared" si="3"/>
        <v>6</v>
      </c>
      <c r="Z19" s="25">
        <f t="shared" si="3"/>
        <v>6</v>
      </c>
      <c r="AA19" s="25">
        <f t="shared" si="3"/>
        <v>6</v>
      </c>
      <c r="AB19" s="25">
        <f t="shared" si="3"/>
        <v>6</v>
      </c>
      <c r="AC19" s="25">
        <f t="shared" si="3"/>
        <v>6</v>
      </c>
      <c r="AD19" s="25">
        <f t="shared" si="3"/>
        <v>6</v>
      </c>
      <c r="AE19" s="25">
        <f t="shared" si="3"/>
        <v>6</v>
      </c>
      <c r="AF19" s="25">
        <f t="shared" si="3"/>
        <v>6</v>
      </c>
      <c r="AG19" s="42">
        <v>6.5</v>
      </c>
      <c r="AH19" s="25">
        <f t="shared" si="3"/>
        <v>6</v>
      </c>
      <c r="AI19" s="25">
        <f t="shared" si="3"/>
        <v>6</v>
      </c>
      <c r="AJ19" s="1"/>
      <c r="AK19" s="1"/>
      <c r="AL19" s="1"/>
      <c r="AM19" s="1"/>
    </row>
    <row r="20" spans="1:39" x14ac:dyDescent="0.3">
      <c r="I20" s="47"/>
      <c r="K20" s="1" t="s">
        <v>25</v>
      </c>
      <c r="L20" s="37">
        <f t="shared" ca="1" si="2"/>
        <v>0.08</v>
      </c>
      <c r="M20" s="24">
        <v>0.08</v>
      </c>
      <c r="N20" s="35">
        <f t="shared" si="13"/>
        <v>0.08</v>
      </c>
      <c r="O20" s="35">
        <f t="shared" si="13"/>
        <v>0.08</v>
      </c>
      <c r="P20" s="35">
        <f t="shared" ref="P20" si="25">O20</f>
        <v>0.08</v>
      </c>
      <c r="Q20" s="35">
        <f t="shared" si="15"/>
        <v>0.08</v>
      </c>
      <c r="R20" s="35">
        <f t="shared" si="15"/>
        <v>0.08</v>
      </c>
      <c r="S20" s="35">
        <f t="shared" si="15"/>
        <v>0.08</v>
      </c>
      <c r="T20" s="35">
        <f t="shared" si="15"/>
        <v>0.08</v>
      </c>
      <c r="U20" s="35">
        <f t="shared" si="9"/>
        <v>0.08</v>
      </c>
      <c r="V20" s="35">
        <f t="shared" si="3"/>
        <v>0.08</v>
      </c>
      <c r="W20" s="35">
        <f t="shared" si="3"/>
        <v>0.08</v>
      </c>
      <c r="X20" s="35">
        <f t="shared" si="3"/>
        <v>0.08</v>
      </c>
      <c r="Y20" s="35">
        <f t="shared" si="3"/>
        <v>0.08</v>
      </c>
      <c r="Z20" s="35">
        <f t="shared" si="3"/>
        <v>0.08</v>
      </c>
      <c r="AA20" s="35">
        <f t="shared" si="3"/>
        <v>0.08</v>
      </c>
      <c r="AB20" s="35">
        <f t="shared" si="3"/>
        <v>0.08</v>
      </c>
      <c r="AC20" s="35">
        <f t="shared" si="3"/>
        <v>0.08</v>
      </c>
      <c r="AD20" s="35">
        <f t="shared" si="3"/>
        <v>0.08</v>
      </c>
      <c r="AE20" s="35">
        <f t="shared" si="3"/>
        <v>0.08</v>
      </c>
      <c r="AF20" s="35">
        <f t="shared" si="3"/>
        <v>0.08</v>
      </c>
      <c r="AG20" s="35">
        <f t="shared" si="3"/>
        <v>0.08</v>
      </c>
      <c r="AH20" s="41">
        <v>0.09</v>
      </c>
      <c r="AI20" s="35">
        <f t="shared" si="3"/>
        <v>0.08</v>
      </c>
    </row>
    <row r="21" spans="1:39" x14ac:dyDescent="0.3">
      <c r="B21" s="21" t="s">
        <v>13</v>
      </c>
      <c r="I21" s="47"/>
      <c r="K21" s="15" t="s">
        <v>67</v>
      </c>
      <c r="L21" s="33">
        <f t="shared" ca="1" si="2"/>
        <v>0.02</v>
      </c>
      <c r="M21" s="34">
        <v>0.02</v>
      </c>
      <c r="N21" s="39">
        <f t="shared" si="13"/>
        <v>0.02</v>
      </c>
      <c r="O21" s="39">
        <f t="shared" si="13"/>
        <v>0.02</v>
      </c>
      <c r="P21" s="39">
        <f t="shared" ref="P21" si="26">O21</f>
        <v>0.02</v>
      </c>
      <c r="Q21" s="39">
        <f t="shared" si="15"/>
        <v>0.02</v>
      </c>
      <c r="R21" s="39">
        <f t="shared" si="15"/>
        <v>0.02</v>
      </c>
      <c r="S21" s="39">
        <f t="shared" si="15"/>
        <v>0.02</v>
      </c>
      <c r="T21" s="39">
        <f t="shared" si="15"/>
        <v>0.02</v>
      </c>
      <c r="U21" s="39">
        <f t="shared" si="9"/>
        <v>0.02</v>
      </c>
      <c r="V21" s="39">
        <f t="shared" si="3"/>
        <v>0.02</v>
      </c>
      <c r="W21" s="39">
        <f t="shared" si="3"/>
        <v>0.02</v>
      </c>
      <c r="X21" s="39">
        <f t="shared" si="3"/>
        <v>0.02</v>
      </c>
      <c r="Y21" s="39">
        <f t="shared" si="3"/>
        <v>0.02</v>
      </c>
      <c r="Z21" s="39">
        <f t="shared" si="3"/>
        <v>0.02</v>
      </c>
      <c r="AA21" s="39">
        <f t="shared" si="3"/>
        <v>0.02</v>
      </c>
      <c r="AB21" s="39">
        <f t="shared" si="3"/>
        <v>0.02</v>
      </c>
      <c r="AC21" s="39">
        <f t="shared" si="3"/>
        <v>0.02</v>
      </c>
      <c r="AD21" s="39">
        <f t="shared" si="3"/>
        <v>0.02</v>
      </c>
      <c r="AE21" s="39">
        <f t="shared" si="3"/>
        <v>0.02</v>
      </c>
      <c r="AF21" s="39">
        <f t="shared" si="3"/>
        <v>0.02</v>
      </c>
      <c r="AG21" s="39">
        <f t="shared" si="3"/>
        <v>0.02</v>
      </c>
      <c r="AH21" s="39">
        <f t="shared" si="3"/>
        <v>0.02</v>
      </c>
      <c r="AI21" s="43">
        <v>5.0000000000000001E-3</v>
      </c>
    </row>
    <row r="22" spans="1:39" x14ac:dyDescent="0.3">
      <c r="B22" s="16" t="s">
        <v>10</v>
      </c>
      <c r="C22" s="22">
        <f>C17</f>
        <v>7329</v>
      </c>
      <c r="D22" s="22">
        <f t="shared" ref="D22:H22" ca="1" si="27">D17</f>
        <v>7407.4968915000009</v>
      </c>
      <c r="E22" s="22">
        <f t="shared" ca="1" si="27"/>
        <v>7488.7757375150013</v>
      </c>
      <c r="F22" s="22">
        <f t="shared" ca="1" si="27"/>
        <v>7595.3656997566504</v>
      </c>
      <c r="G22" s="22">
        <f t="shared" ca="1" si="27"/>
        <v>7728.0013656588217</v>
      </c>
      <c r="H22" s="22">
        <f t="shared" ca="1" si="27"/>
        <v>7887.5223916954019</v>
      </c>
      <c r="I22" s="46">
        <f t="shared" ref="I22" ca="1" si="28">_xlfn.RRI(5,C22,H22)</f>
        <v>1.4797004738675401E-2</v>
      </c>
      <c r="K22" s="1" t="s">
        <v>24</v>
      </c>
      <c r="L22" s="30">
        <f ca="1">C39</f>
        <v>42909.237514571447</v>
      </c>
      <c r="M22" s="30">
        <f t="shared" ref="M22:P25" si="29">M28</f>
        <v>42909.237514571447</v>
      </c>
      <c r="N22" s="30">
        <f t="shared" si="29"/>
        <v>46754.022458226173</v>
      </c>
      <c r="O22" s="30">
        <f t="shared" si="29"/>
        <v>39339.073546407984</v>
      </c>
      <c r="P22" s="30">
        <f t="shared" si="29"/>
        <v>49452.338414111946</v>
      </c>
      <c r="Q22" s="30">
        <f t="shared" ref="Q22:AI22" si="30">Q28</f>
        <v>37899.947728000785</v>
      </c>
      <c r="R22" s="30">
        <f t="shared" si="30"/>
        <v>40225.17991156377</v>
      </c>
      <c r="S22" s="30">
        <f t="shared" si="30"/>
        <v>40225.17991156377</v>
      </c>
      <c r="T22" s="30">
        <f t="shared" si="30"/>
        <v>42909.237514571447</v>
      </c>
      <c r="U22" s="30">
        <f t="shared" si="30"/>
        <v>43355.627674221236</v>
      </c>
      <c r="V22" s="30">
        <f t="shared" si="30"/>
        <v>43428.690332644772</v>
      </c>
      <c r="W22" s="30">
        <f t="shared" si="30"/>
        <v>43390.730661483387</v>
      </c>
      <c r="X22" s="30">
        <f t="shared" si="30"/>
        <v>43058.03423445471</v>
      </c>
      <c r="Y22" s="30">
        <f t="shared" si="30"/>
        <v>43043.154562466385</v>
      </c>
      <c r="Z22" s="30">
        <f t="shared" si="30"/>
        <v>43066.262147171699</v>
      </c>
      <c r="AA22" s="30">
        <f t="shared" si="30"/>
        <v>41609.205890966754</v>
      </c>
      <c r="AB22" s="30">
        <f t="shared" si="30"/>
        <v>42385.318932800306</v>
      </c>
      <c r="AC22" s="30">
        <f t="shared" si="30"/>
        <v>42740.852758595138</v>
      </c>
      <c r="AD22" s="30">
        <f t="shared" si="30"/>
        <v>43116.81494873749</v>
      </c>
      <c r="AE22" s="30">
        <f t="shared" si="30"/>
        <v>42177.741498634263</v>
      </c>
      <c r="AF22" s="30">
        <f t="shared" si="30"/>
        <v>42735.282093354879</v>
      </c>
      <c r="AG22" s="30">
        <f t="shared" si="30"/>
        <v>45593.295117579131</v>
      </c>
      <c r="AH22" s="30">
        <f t="shared" si="30"/>
        <v>41179.634095267873</v>
      </c>
      <c r="AI22" s="30">
        <f t="shared" si="30"/>
        <v>0</v>
      </c>
    </row>
    <row r="23" spans="1:39" x14ac:dyDescent="0.3">
      <c r="B23" s="1" t="s">
        <v>44</v>
      </c>
      <c r="C23" s="7">
        <f>-513</f>
        <v>-513</v>
      </c>
      <c r="D23" s="7">
        <f ca="1">-D13*$L$14</f>
        <v>-535.48170300000004</v>
      </c>
      <c r="E23" s="7">
        <f t="shared" ref="E23:H23" ca="1" si="31">-E13*$L$14</f>
        <v>-541.35728223000001</v>
      </c>
      <c r="F23" s="7">
        <f t="shared" ca="1" si="31"/>
        <v>-549.06258070529998</v>
      </c>
      <c r="G23" s="7">
        <f t="shared" ca="1" si="31"/>
        <v>-558.65070113196293</v>
      </c>
      <c r="H23" s="7">
        <f t="shared" ca="1" si="31"/>
        <v>-570.18234156834217</v>
      </c>
      <c r="I23" s="47"/>
      <c r="K23" s="1" t="s">
        <v>61</v>
      </c>
      <c r="L23" s="29">
        <f ca="1">C45</f>
        <v>33.168941944739288</v>
      </c>
      <c r="M23" s="29">
        <f t="shared" si="29"/>
        <v>33.168941944739288</v>
      </c>
      <c r="N23" s="29">
        <f t="shared" si="29"/>
        <v>37.929695961151772</v>
      </c>
      <c r="O23" s="29">
        <f t="shared" si="29"/>
        <v>28.748233712738958</v>
      </c>
      <c r="P23" s="29">
        <f t="shared" si="29"/>
        <v>41.270849943179726</v>
      </c>
      <c r="Q23" s="29">
        <f t="shared" ref="Q23:AI23" si="32">Q29</f>
        <v>26.966255235265955</v>
      </c>
      <c r="R23" s="29">
        <f t="shared" si="32"/>
        <v>29.84544317925182</v>
      </c>
      <c r="S23" s="29">
        <f t="shared" si="32"/>
        <v>29.84544317925182</v>
      </c>
      <c r="T23" s="29">
        <f t="shared" si="32"/>
        <v>33.168941944739288</v>
      </c>
      <c r="U23" s="29">
        <f t="shared" si="32"/>
        <v>33.721678645642939</v>
      </c>
      <c r="V23" s="29">
        <f t="shared" si="32"/>
        <v>33.812147514418982</v>
      </c>
      <c r="W23" s="29">
        <f t="shared" si="32"/>
        <v>33.765144454536141</v>
      </c>
      <c r="X23" s="29">
        <f t="shared" si="32"/>
        <v>33.353187511707169</v>
      </c>
      <c r="Y23" s="29">
        <f t="shared" si="32"/>
        <v>33.334762955010383</v>
      </c>
      <c r="Z23" s="29">
        <f t="shared" si="32"/>
        <v>33.36337561561627</v>
      </c>
      <c r="AA23" s="29">
        <f t="shared" si="32"/>
        <v>31.559195011102965</v>
      </c>
      <c r="AB23" s="29">
        <f t="shared" si="32"/>
        <v>32.520206702328267</v>
      </c>
      <c r="AC23" s="29">
        <f t="shared" si="32"/>
        <v>32.960441751603689</v>
      </c>
      <c r="AD23" s="29">
        <f t="shared" si="32"/>
        <v>33.425971952374304</v>
      </c>
      <c r="AE23" s="29">
        <f t="shared" si="32"/>
        <v>32.263176694693243</v>
      </c>
      <c r="AF23" s="29">
        <f t="shared" si="32"/>
        <v>32.953543949176421</v>
      </c>
      <c r="AG23" s="29">
        <f t="shared" si="32"/>
        <v>36.492440710226759</v>
      </c>
      <c r="AH23" s="29">
        <f t="shared" si="32"/>
        <v>31.027283426532779</v>
      </c>
      <c r="AI23" s="29">
        <f t="shared" si="32"/>
        <v>0</v>
      </c>
    </row>
    <row r="24" spans="1:39" x14ac:dyDescent="0.3">
      <c r="B24" s="1" t="s">
        <v>14</v>
      </c>
      <c r="C24" s="7">
        <f t="shared" ref="C24:H24" ca="1" si="33">-SUM(C22:C23,C55)*$L$15</f>
        <v>-1046.2640712945592</v>
      </c>
      <c r="D24" s="7">
        <f t="shared" ca="1" si="33"/>
        <v>-1038.3539433173078</v>
      </c>
      <c r="E24" s="7">
        <f t="shared" ca="1" si="33"/>
        <v>-1049.7472940677887</v>
      </c>
      <c r="F24" s="7">
        <f t="shared" ca="1" si="33"/>
        <v>-1064.6886580984185</v>
      </c>
      <c r="G24" s="7">
        <f t="shared" ca="1" si="33"/>
        <v>-1083.2810070026849</v>
      </c>
      <c r="H24" s="7">
        <f t="shared" ca="1" si="33"/>
        <v>-1105.6420405411768</v>
      </c>
      <c r="I24" s="47"/>
      <c r="K24" s="1" t="s">
        <v>62</v>
      </c>
      <c r="L24" s="35">
        <f ca="1">C49</f>
        <v>0.2888563063369074</v>
      </c>
      <c r="M24" s="35">
        <f t="shared" si="29"/>
        <v>0.2888563063369074</v>
      </c>
      <c r="N24" s="35">
        <f t="shared" si="29"/>
        <v>0.12708522746360162</v>
      </c>
      <c r="O24" s="35">
        <f t="shared" si="29"/>
        <v>0.48704788012964295</v>
      </c>
      <c r="P24" s="35">
        <f t="shared" si="29"/>
        <v>3.5840067719872915E-2</v>
      </c>
      <c r="Q24" s="35">
        <f t="shared" ref="Q24:AI24" si="34">Q30</f>
        <v>0.58531466927941711</v>
      </c>
      <c r="R24" s="35">
        <f t="shared" si="34"/>
        <v>0.43237946721860943</v>
      </c>
      <c r="S24" s="35">
        <f t="shared" si="34"/>
        <v>0.43237946721860943</v>
      </c>
      <c r="T24" s="35">
        <f t="shared" si="34"/>
        <v>0.2888563063369074</v>
      </c>
      <c r="U24" s="35">
        <f t="shared" si="34"/>
        <v>0.26773048427479695</v>
      </c>
      <c r="V24" s="35">
        <f t="shared" si="34"/>
        <v>0.26433850384006297</v>
      </c>
      <c r="W24" s="35">
        <f t="shared" si="34"/>
        <v>0.26609853713381049</v>
      </c>
      <c r="X24" s="35">
        <f t="shared" si="34"/>
        <v>0.28173656520818269</v>
      </c>
      <c r="Y24" s="35">
        <f t="shared" si="34"/>
        <v>0.28244499766495146</v>
      </c>
      <c r="Z24" s="35">
        <f t="shared" si="34"/>
        <v>0.28134516400643128</v>
      </c>
      <c r="AA24" s="35">
        <f t="shared" si="34"/>
        <v>0.3545972888395903</v>
      </c>
      <c r="AB24" s="35">
        <f t="shared" si="34"/>
        <v>0.31456729015622575</v>
      </c>
      <c r="AC24" s="35">
        <f t="shared" si="34"/>
        <v>0.29700931565700261</v>
      </c>
      <c r="AD24" s="35">
        <f t="shared" si="34"/>
        <v>0.27894560735318863</v>
      </c>
      <c r="AE24" s="35">
        <f t="shared" si="34"/>
        <v>0.3250400109246423</v>
      </c>
      <c r="AF24" s="35">
        <f t="shared" si="34"/>
        <v>0.29728080433268289</v>
      </c>
      <c r="AG24" s="35">
        <f t="shared" si="34"/>
        <v>0.17147549377314197</v>
      </c>
      <c r="AH24" s="35">
        <f t="shared" si="34"/>
        <v>0.37781962449998496</v>
      </c>
      <c r="AI24" s="35">
        <f t="shared" si="34"/>
        <v>0</v>
      </c>
    </row>
    <row r="25" spans="1:39" x14ac:dyDescent="0.3">
      <c r="B25" s="1" t="s">
        <v>15</v>
      </c>
      <c r="C25" s="7">
        <f>-3133</f>
        <v>-3133</v>
      </c>
      <c r="D25" s="7">
        <f ca="1">-$L$17*D13</f>
        <v>-3212.890218</v>
      </c>
      <c r="E25" s="7">
        <f t="shared" ref="E25:H25" ca="1" si="35">-$L$17*E13</f>
        <v>-3248.1436933800001</v>
      </c>
      <c r="F25" s="7">
        <f t="shared" ca="1" si="35"/>
        <v>-3294.3754842317999</v>
      </c>
      <c r="G25" s="7">
        <f t="shared" ca="1" si="35"/>
        <v>-3351.9042067917781</v>
      </c>
      <c r="H25" s="7">
        <f t="shared" ca="1" si="35"/>
        <v>-3421.0940494100532</v>
      </c>
      <c r="I25" s="47"/>
      <c r="K25" s="1" t="s">
        <v>63</v>
      </c>
      <c r="L25" s="35">
        <f ca="1">B53</f>
        <v>9.9223024744269583E-2</v>
      </c>
      <c r="M25" s="35">
        <f t="shared" si="29"/>
        <v>9.9223024744269583E-2</v>
      </c>
      <c r="N25" s="35">
        <f t="shared" si="29"/>
        <v>0.12044596740076829</v>
      </c>
      <c r="O25" s="35">
        <f t="shared" si="29"/>
        <v>7.8004828286256211E-2</v>
      </c>
      <c r="P25" s="35">
        <f t="shared" si="29"/>
        <v>0.1342994775362496</v>
      </c>
      <c r="Q25" s="35">
        <f t="shared" ref="Q25:AI25" si="36">Q31</f>
        <v>6.8937240320907645E-2</v>
      </c>
      <c r="R25" s="35">
        <f t="shared" si="36"/>
        <v>8.3431297853066244E-2</v>
      </c>
      <c r="S25" s="35">
        <f t="shared" si="36"/>
        <v>8.3431297853066244E-2</v>
      </c>
      <c r="T25" s="35">
        <f t="shared" si="36"/>
        <v>9.9223024744269583E-2</v>
      </c>
      <c r="U25" s="35">
        <f t="shared" si="36"/>
        <v>0.1017702189568046</v>
      </c>
      <c r="V25" s="35">
        <f t="shared" si="36"/>
        <v>0.10218197023272024</v>
      </c>
      <c r="W25" s="35">
        <f t="shared" si="36"/>
        <v>0.10196610801003825</v>
      </c>
      <c r="X25" s="35">
        <f t="shared" si="36"/>
        <v>0.10007454956530704</v>
      </c>
      <c r="Y25" s="35">
        <f t="shared" si="36"/>
        <v>9.9989508313965691E-2</v>
      </c>
      <c r="Z25" s="35">
        <f t="shared" si="36"/>
        <v>0.10012064991741276</v>
      </c>
      <c r="AA25" s="35">
        <f t="shared" si="36"/>
        <v>9.162411741742682E-2</v>
      </c>
      <c r="AB25" s="35">
        <f t="shared" si="36"/>
        <v>9.6118300835536852E-2</v>
      </c>
      <c r="AC25" s="35">
        <f t="shared" si="36"/>
        <v>9.8225109277878531E-2</v>
      </c>
      <c r="AD25" s="35">
        <f t="shared" si="36"/>
        <v>0.10045330676484054</v>
      </c>
      <c r="AE25" s="35">
        <f t="shared" si="36"/>
        <v>9.488838952443035E-2</v>
      </c>
      <c r="AF25" s="35">
        <f t="shared" si="36"/>
        <v>9.8161915702715818E-2</v>
      </c>
      <c r="AG25" s="35">
        <f t="shared" si="36"/>
        <v>0.11410772683084258</v>
      </c>
      <c r="AH25" s="35">
        <f t="shared" si="36"/>
        <v>9.9223024744269583E-2</v>
      </c>
      <c r="AI25" s="35">
        <f t="shared" si="36"/>
        <v>0</v>
      </c>
    </row>
    <row r="26" spans="1:39" x14ac:dyDescent="0.3">
      <c r="B26" s="1" t="s">
        <v>43</v>
      </c>
      <c r="D26" s="12">
        <f ca="1">-(D56-C56)</f>
        <v>-5.4556040000001076</v>
      </c>
      <c r="E26" s="12">
        <f ca="1">-(E56-D56)</f>
        <v>-7.8341056399999616</v>
      </c>
      <c r="F26" s="12">
        <f ca="1">-(F56-E56)</f>
        <v>-10.273731300399959</v>
      </c>
      <c r="G26" s="12">
        <f ca="1">-(G56-F56)</f>
        <v>-12.784160568883976</v>
      </c>
      <c r="H26" s="12">
        <f ca="1">-(H56-G56)</f>
        <v>-15.375520581838941</v>
      </c>
      <c r="I26" s="47"/>
    </row>
    <row r="27" spans="1:39" ht="13.5" thickBot="1" x14ac:dyDescent="0.35">
      <c r="B27" s="18" t="s">
        <v>20</v>
      </c>
      <c r="C27" s="19">
        <f ca="1">SUM(C22:C26)</f>
        <v>2636.7359287054405</v>
      </c>
      <c r="D27" s="19">
        <f t="shared" ref="D27:H27" ca="1" si="37">SUM(D22:D26)</f>
        <v>2615.3154231826929</v>
      </c>
      <c r="E27" s="19">
        <f t="shared" ca="1" si="37"/>
        <v>2641.6933621972121</v>
      </c>
      <c r="F27" s="19">
        <f t="shared" ca="1" si="37"/>
        <v>2676.9652454207321</v>
      </c>
      <c r="G27" s="19">
        <f t="shared" ca="1" si="37"/>
        <v>2721.3812901635124</v>
      </c>
      <c r="H27" s="19">
        <f t="shared" ca="1" si="37"/>
        <v>2775.2284395939914</v>
      </c>
      <c r="I27" s="46">
        <f t="shared" ref="I27" ca="1" si="38">_xlfn.RRI(5,C27,H27)</f>
        <v>1.0290850880218194E-2</v>
      </c>
      <c r="M27" s="1">
        <v>1</v>
      </c>
      <c r="N27" s="1">
        <f>M27+1</f>
        <v>2</v>
      </c>
      <c r="O27" s="1">
        <f t="shared" ref="O27:AH27" si="39">N27+1</f>
        <v>3</v>
      </c>
      <c r="P27" s="1">
        <f t="shared" si="39"/>
        <v>4</v>
      </c>
      <c r="Q27" s="1">
        <f t="shared" si="39"/>
        <v>5</v>
      </c>
      <c r="R27" s="1">
        <f t="shared" si="39"/>
        <v>6</v>
      </c>
      <c r="S27" s="1">
        <f t="shared" si="39"/>
        <v>7</v>
      </c>
      <c r="T27" s="1">
        <f t="shared" si="39"/>
        <v>8</v>
      </c>
      <c r="U27" s="1">
        <f t="shared" si="39"/>
        <v>9</v>
      </c>
      <c r="V27" s="1">
        <f t="shared" si="39"/>
        <v>10</v>
      </c>
      <c r="W27" s="1">
        <f t="shared" si="39"/>
        <v>11</v>
      </c>
      <c r="X27" s="1">
        <f t="shared" si="39"/>
        <v>12</v>
      </c>
      <c r="Y27" s="1">
        <f t="shared" si="39"/>
        <v>13</v>
      </c>
      <c r="Z27" s="1">
        <f t="shared" si="39"/>
        <v>14</v>
      </c>
      <c r="AA27" s="1">
        <f t="shared" si="39"/>
        <v>15</v>
      </c>
      <c r="AB27" s="1">
        <f t="shared" si="39"/>
        <v>16</v>
      </c>
      <c r="AC27" s="1">
        <f t="shared" si="39"/>
        <v>17</v>
      </c>
      <c r="AD27" s="1">
        <f t="shared" si="39"/>
        <v>18</v>
      </c>
      <c r="AE27" s="1">
        <f t="shared" si="39"/>
        <v>19</v>
      </c>
      <c r="AF27" s="1">
        <f t="shared" si="39"/>
        <v>20</v>
      </c>
      <c r="AG27" s="1">
        <f t="shared" si="39"/>
        <v>21</v>
      </c>
      <c r="AH27" s="1">
        <f t="shared" si="39"/>
        <v>22</v>
      </c>
      <c r="AI27" s="29"/>
    </row>
    <row r="28" spans="1:39" x14ac:dyDescent="0.3">
      <c r="B28" s="17" t="s">
        <v>17</v>
      </c>
      <c r="C28" s="20">
        <f ca="1">C27/$C$39</f>
        <v>6.1449144320265249E-2</v>
      </c>
      <c r="D28" s="20">
        <f t="shared" ref="D28:H28" ca="1" si="40">D27/$C$39</f>
        <v>6.0949939329370838E-2</v>
      </c>
      <c r="E28" s="20">
        <f t="shared" ca="1" si="40"/>
        <v>6.1564677333176235E-2</v>
      </c>
      <c r="F28" s="20">
        <f t="shared" ca="1" si="40"/>
        <v>6.2386688752315109E-2</v>
      </c>
      <c r="G28" s="20">
        <f t="shared" ca="1" si="40"/>
        <v>6.3421804902484336E-2</v>
      </c>
      <c r="H28" s="20">
        <f t="shared" ca="1" si="40"/>
        <v>6.4676712995693719E-2</v>
      </c>
      <c r="K28" s="1" t="str">
        <f t="shared" ref="K28:L31" si="41">K22</f>
        <v>Enterprise Value</v>
      </c>
      <c r="L28" s="30">
        <f t="shared" ca="1" si="41"/>
        <v>42909.237514571447</v>
      </c>
      <c r="M28" s="30">
        <f t="dataTable" ref="M28:AH31" dt2D="0" dtr="1" r1="L5" ca="1"/>
        <v>42909.237514571447</v>
      </c>
      <c r="N28" s="30">
        <v>46754.022458226173</v>
      </c>
      <c r="O28" s="30">
        <v>39339.073546407984</v>
      </c>
      <c r="P28" s="30">
        <v>49452.338414111946</v>
      </c>
      <c r="Q28" s="30">
        <v>37899.947728000785</v>
      </c>
      <c r="R28" s="30">
        <v>40225.17991156377</v>
      </c>
      <c r="S28" s="30">
        <v>40225.17991156377</v>
      </c>
      <c r="T28" s="30">
        <v>42909.237514571447</v>
      </c>
      <c r="U28" s="30">
        <v>43355.627674221236</v>
      </c>
      <c r="V28" s="30">
        <v>43428.690332644772</v>
      </c>
      <c r="W28" s="30">
        <v>43390.730661483387</v>
      </c>
      <c r="X28" s="30">
        <v>43058.03423445471</v>
      </c>
      <c r="Y28" s="30">
        <v>43043.154562466385</v>
      </c>
      <c r="Z28" s="30">
        <v>43066.262147171699</v>
      </c>
      <c r="AA28" s="30">
        <v>41609.205890966754</v>
      </c>
      <c r="AB28" s="30">
        <v>42385.318932800306</v>
      </c>
      <c r="AC28" s="30">
        <v>42740.852758595138</v>
      </c>
      <c r="AD28" s="30">
        <v>43116.81494873749</v>
      </c>
      <c r="AE28" s="30">
        <v>42177.741498634263</v>
      </c>
      <c r="AF28" s="30">
        <v>42735.282093354879</v>
      </c>
      <c r="AG28" s="30">
        <v>45593.295117579131</v>
      </c>
      <c r="AH28" s="30">
        <v>41179.634095267873</v>
      </c>
      <c r="AI28" s="5"/>
    </row>
    <row r="29" spans="1:39" x14ac:dyDescent="0.3">
      <c r="B29" s="17" t="s">
        <v>60</v>
      </c>
      <c r="C29" s="20">
        <f ca="1">C27/C22</f>
        <v>0.35976748924893442</v>
      </c>
      <c r="D29" s="20">
        <f t="shared" ref="D29:H29" ca="1" si="42">D27/D22</f>
        <v>0.35306331700033933</v>
      </c>
      <c r="E29" s="20">
        <f t="shared" ca="1" si="42"/>
        <v>0.3527537016449373</v>
      </c>
      <c r="F29" s="20">
        <f t="shared" ca="1" si="42"/>
        <v>0.35244718309040735</v>
      </c>
      <c r="G29" s="20">
        <f t="shared" ca="1" si="42"/>
        <v>0.35214554985155744</v>
      </c>
      <c r="H29" s="20">
        <f t="shared" ca="1" si="42"/>
        <v>0.35185046733001585</v>
      </c>
      <c r="K29" s="1" t="str">
        <f t="shared" si="41"/>
        <v>Share Price</v>
      </c>
      <c r="L29" s="29">
        <f t="shared" ca="1" si="41"/>
        <v>33.168941944739288</v>
      </c>
      <c r="M29" s="29">
        <v>33.168941944739288</v>
      </c>
      <c r="N29" s="29">
        <v>37.929695961151772</v>
      </c>
      <c r="O29" s="29">
        <v>28.748233712738958</v>
      </c>
      <c r="P29" s="29">
        <v>41.270849943179726</v>
      </c>
      <c r="Q29" s="29">
        <v>26.966255235265955</v>
      </c>
      <c r="R29" s="29">
        <v>29.84544317925182</v>
      </c>
      <c r="S29" s="29">
        <v>29.84544317925182</v>
      </c>
      <c r="T29" s="29">
        <v>33.168941944739288</v>
      </c>
      <c r="U29" s="29">
        <v>33.721678645642939</v>
      </c>
      <c r="V29" s="29">
        <v>33.812147514418982</v>
      </c>
      <c r="W29" s="29">
        <v>33.765144454536141</v>
      </c>
      <c r="X29" s="29">
        <v>33.353187511707169</v>
      </c>
      <c r="Y29" s="29">
        <v>33.334762955010383</v>
      </c>
      <c r="Z29" s="29">
        <v>33.36337561561627</v>
      </c>
      <c r="AA29" s="29">
        <v>31.559195011102965</v>
      </c>
      <c r="AB29" s="29">
        <v>32.520206702328267</v>
      </c>
      <c r="AC29" s="29">
        <v>32.960441751603689</v>
      </c>
      <c r="AD29" s="29">
        <v>33.425971952374304</v>
      </c>
      <c r="AE29" s="29">
        <v>32.263176694693243</v>
      </c>
      <c r="AF29" s="29">
        <v>32.953543949176421</v>
      </c>
      <c r="AG29" s="29">
        <v>36.492440710226759</v>
      </c>
      <c r="AH29" s="29">
        <v>31.027283426532779</v>
      </c>
    </row>
    <row r="30" spans="1:39" x14ac:dyDescent="0.3">
      <c r="B30" s="17" t="s">
        <v>3</v>
      </c>
      <c r="D30" s="27">
        <f ca="1">D27/C27-1</f>
        <v>-8.1238721290016747E-3</v>
      </c>
      <c r="E30" s="27">
        <f t="shared" ref="E30:H30" ca="1" si="43">E27/D27-1</f>
        <v>1.0085949396657634E-2</v>
      </c>
      <c r="F30" s="27">
        <f t="shared" ca="1" si="43"/>
        <v>1.3351997521083625E-2</v>
      </c>
      <c r="G30" s="27">
        <f t="shared" ca="1" si="43"/>
        <v>1.6591939256125565E-2</v>
      </c>
      <c r="H30" s="27">
        <f t="shared" ca="1" si="43"/>
        <v>1.9786697889454308E-2</v>
      </c>
      <c r="K30" s="1" t="str">
        <f t="shared" si="41"/>
        <v>Premium</v>
      </c>
      <c r="L30" s="35">
        <f t="shared" ca="1" si="41"/>
        <v>0.2888563063369074</v>
      </c>
      <c r="M30" s="35">
        <v>0.2888563063369074</v>
      </c>
      <c r="N30" s="35">
        <v>0.12708522746360162</v>
      </c>
      <c r="O30" s="35">
        <v>0.48704788012964295</v>
      </c>
      <c r="P30" s="35">
        <v>3.5840067719872915E-2</v>
      </c>
      <c r="Q30" s="35">
        <v>0.58531466927941711</v>
      </c>
      <c r="R30" s="35">
        <v>0.43237946721860943</v>
      </c>
      <c r="S30" s="35">
        <v>0.43237946721860943</v>
      </c>
      <c r="T30" s="35">
        <v>0.2888563063369074</v>
      </c>
      <c r="U30" s="35">
        <v>0.26773048427479695</v>
      </c>
      <c r="V30" s="35">
        <v>0.26433850384006297</v>
      </c>
      <c r="W30" s="35">
        <v>0.26609853713381049</v>
      </c>
      <c r="X30" s="35">
        <v>0.28173656520818269</v>
      </c>
      <c r="Y30" s="35">
        <v>0.28244499766495146</v>
      </c>
      <c r="Z30" s="35">
        <v>0.28134516400643128</v>
      </c>
      <c r="AA30" s="35">
        <v>0.3545972888395903</v>
      </c>
      <c r="AB30" s="35">
        <v>0.31456729015622575</v>
      </c>
      <c r="AC30" s="35">
        <v>0.29700931565700261</v>
      </c>
      <c r="AD30" s="35">
        <v>0.27894560735318863</v>
      </c>
      <c r="AE30" s="35">
        <v>0.3250400109246423</v>
      </c>
      <c r="AF30" s="35">
        <v>0.29728080433268289</v>
      </c>
      <c r="AG30" s="35">
        <v>0.17147549377314197</v>
      </c>
      <c r="AH30" s="35">
        <v>0.37781962449998496</v>
      </c>
    </row>
    <row r="31" spans="1:39" x14ac:dyDescent="0.3">
      <c r="B31" s="17"/>
      <c r="H31" s="13"/>
      <c r="K31" s="1" t="str">
        <f t="shared" si="41"/>
        <v>IRR</v>
      </c>
      <c r="L31" s="35">
        <f t="shared" ca="1" si="41"/>
        <v>9.9223024744269583E-2</v>
      </c>
      <c r="M31" s="35">
        <v>9.9223024744269583E-2</v>
      </c>
      <c r="N31" s="35">
        <v>0.12044596740076829</v>
      </c>
      <c r="O31" s="35">
        <v>7.8004828286256211E-2</v>
      </c>
      <c r="P31" s="35">
        <v>0.1342994775362496</v>
      </c>
      <c r="Q31" s="35">
        <v>6.8937240320907645E-2</v>
      </c>
      <c r="R31" s="35">
        <v>8.3431297853066244E-2</v>
      </c>
      <c r="S31" s="35">
        <v>8.3431297853066244E-2</v>
      </c>
      <c r="T31" s="35">
        <v>9.9223024744269583E-2</v>
      </c>
      <c r="U31" s="35">
        <v>0.1017702189568046</v>
      </c>
      <c r="V31" s="35">
        <v>0.10218197023272024</v>
      </c>
      <c r="W31" s="35">
        <v>0.10196610801003825</v>
      </c>
      <c r="X31" s="35">
        <v>0.10007454956530704</v>
      </c>
      <c r="Y31" s="35">
        <v>9.9989508313965691E-2</v>
      </c>
      <c r="Z31" s="35">
        <v>0.10012064991741276</v>
      </c>
      <c r="AA31" s="35">
        <v>9.162411741742682E-2</v>
      </c>
      <c r="AB31" s="35">
        <v>9.6118300835536852E-2</v>
      </c>
      <c r="AC31" s="35">
        <v>9.8225109277878531E-2</v>
      </c>
      <c r="AD31" s="35">
        <v>0.10045330676484054</v>
      </c>
      <c r="AE31" s="35">
        <v>9.488838952443035E-2</v>
      </c>
      <c r="AF31" s="35">
        <v>9.8161915702715818E-2</v>
      </c>
      <c r="AG31" s="35">
        <v>0.11410772683084258</v>
      </c>
      <c r="AH31" s="35">
        <v>9.9223024744269583E-2</v>
      </c>
    </row>
    <row r="32" spans="1:39" x14ac:dyDescent="0.3">
      <c r="U32" s="29">
        <f>ABS(U29-$M$29)</f>
        <v>0.55273670090365101</v>
      </c>
      <c r="V32" s="29">
        <f t="shared" ref="V32:AH32" si="44">ABS(V29-$M$29)</f>
        <v>0.64320556967969367</v>
      </c>
      <c r="W32" s="29">
        <f t="shared" si="44"/>
        <v>0.59620250979685352</v>
      </c>
      <c r="X32" s="29">
        <f t="shared" si="44"/>
        <v>0.1842455669678813</v>
      </c>
      <c r="Y32" s="29">
        <f t="shared" si="44"/>
        <v>0.1658210102710953</v>
      </c>
      <c r="Z32" s="29">
        <f t="shared" si="44"/>
        <v>0.19443367087698249</v>
      </c>
      <c r="AA32" s="29">
        <f t="shared" si="44"/>
        <v>1.6097469336363233</v>
      </c>
      <c r="AB32" s="29">
        <f t="shared" si="44"/>
        <v>0.64873524241102132</v>
      </c>
      <c r="AC32" s="29">
        <f t="shared" si="44"/>
        <v>0.20850019313559898</v>
      </c>
      <c r="AD32" s="29">
        <f t="shared" si="44"/>
        <v>0.25703000763501649</v>
      </c>
      <c r="AE32" s="29">
        <f t="shared" si="44"/>
        <v>0.90576525004604491</v>
      </c>
      <c r="AF32" s="29">
        <f t="shared" si="44"/>
        <v>0.2153979955628671</v>
      </c>
      <c r="AG32" s="29">
        <f t="shared" si="44"/>
        <v>3.3234987654874715</v>
      </c>
      <c r="AH32" s="29">
        <f t="shared" si="44"/>
        <v>2.1416585182065084</v>
      </c>
    </row>
    <row r="33" spans="1:20" x14ac:dyDescent="0.3">
      <c r="A33" s="1" t="s">
        <v>0</v>
      </c>
      <c r="B33" s="2" t="s">
        <v>49</v>
      </c>
      <c r="C33" s="2"/>
      <c r="D33" s="2"/>
      <c r="E33" s="2"/>
      <c r="F33" s="2"/>
      <c r="G33" s="2"/>
      <c r="H33" s="2"/>
      <c r="I33" s="2"/>
    </row>
    <row r="34" spans="1:20" x14ac:dyDescent="0.3">
      <c r="R34" s="1" t="str" cm="1">
        <f t="array" ref="R34:R37">TRANSPOSE(Q6:T6)</f>
        <v>Yield</v>
      </c>
      <c r="S34" s="12">
        <f>T34</f>
        <v>26.966255235265955</v>
      </c>
      <c r="T34" s="7" cm="1">
        <f t="array" ref="T34:T37">TRANSPOSE(Q29:T29)</f>
        <v>26.966255235265955</v>
      </c>
    </row>
    <row r="35" spans="1:20" ht="14.5" x14ac:dyDescent="0.45">
      <c r="B35" s="36" t="s">
        <v>49</v>
      </c>
      <c r="C35" s="36" t="s">
        <v>12</v>
      </c>
      <c r="E35" s="67" t="s">
        <v>49</v>
      </c>
      <c r="F35" s="67"/>
      <c r="G35" s="36" t="s">
        <v>68</v>
      </c>
      <c r="K35" s="36" t="s">
        <v>26</v>
      </c>
      <c r="L35" s="36" t="s">
        <v>7</v>
      </c>
      <c r="M35" s="36" t="s">
        <v>27</v>
      </c>
      <c r="N35" s="67" t="s">
        <v>28</v>
      </c>
      <c r="O35" s="67"/>
      <c r="R35" s="1" t="str">
        <v>Growth</v>
      </c>
      <c r="S35" s="12">
        <f>T35-T34</f>
        <v>2.8791879439858654</v>
      </c>
      <c r="T35" s="7">
        <v>29.84544317925182</v>
      </c>
    </row>
    <row r="36" spans="1:20" x14ac:dyDescent="0.3">
      <c r="B36" s="1" t="s">
        <v>50</v>
      </c>
      <c r="C36" s="30">
        <f ca="1">NPV($L$20,$D$27:$H$27)</f>
        <v>10700.546278479225</v>
      </c>
      <c r="E36" s="1" t="s">
        <v>50</v>
      </c>
      <c r="G36" s="30">
        <f ca="1">NPV($L$20,$D$27:$H$27)</f>
        <v>10700.546278479225</v>
      </c>
      <c r="K36" s="1" t="str">
        <f t="shared" ref="K36:K49" si="45">K7</f>
        <v>Local and Access</v>
      </c>
      <c r="L36" s="24">
        <f t="shared" ref="L36:L49" si="46">M7</f>
        <v>-0.05</v>
      </c>
      <c r="M36" s="24">
        <v>0.01</v>
      </c>
      <c r="N36" s="6" cm="1">
        <f t="array" ref="N36:N49">TRANSPOSE(U32:AH32)</f>
        <v>0.55273670090365101</v>
      </c>
      <c r="O36" s="45" t="str">
        <f t="shared" ref="O36:O49" si="47">REPT("|",25*N36)</f>
        <v>|||||||||||||</v>
      </c>
      <c r="R36" s="1" t="str">
        <v>Margin Expansion</v>
      </c>
      <c r="S36" s="12">
        <f t="shared" ref="S36:S37" si="48">T36-T35</f>
        <v>0</v>
      </c>
      <c r="T36" s="7">
        <v>29.84544317925182</v>
      </c>
    </row>
    <row r="37" spans="1:20" x14ac:dyDescent="0.3">
      <c r="B37" s="1" t="s">
        <v>51</v>
      </c>
      <c r="C37" s="12">
        <f ca="1">H22*$L$19/(1+$L$20)^5</f>
        <v>32208.691236092222</v>
      </c>
      <c r="E37" s="1" t="s">
        <v>51</v>
      </c>
      <c r="G37" s="12">
        <f ca="1">H27*(1+L21)/(L20-L21)/(1+L20)^5</f>
        <v>32109.155346603831</v>
      </c>
      <c r="K37" s="1" t="str">
        <f t="shared" si="45"/>
        <v>Data</v>
      </c>
      <c r="L37" s="24">
        <f t="shared" si="46"/>
        <v>0.05</v>
      </c>
      <c r="M37" s="24">
        <v>0.01</v>
      </c>
      <c r="N37" s="6">
        <v>0.64320556967969367</v>
      </c>
      <c r="O37" s="45" t="str">
        <f t="shared" si="47"/>
        <v>||||||||||||||||</v>
      </c>
      <c r="R37" s="1" t="str">
        <v>Multiple Expansion</v>
      </c>
      <c r="S37" s="12">
        <f t="shared" si="48"/>
        <v>3.3234987654874679</v>
      </c>
      <c r="T37" s="7">
        <v>33.168941944739288</v>
      </c>
    </row>
    <row r="38" spans="1:20" x14ac:dyDescent="0.3">
      <c r="B38" s="1" t="s">
        <v>52</v>
      </c>
      <c r="C38" s="20">
        <f ca="1">C37/C39</f>
        <v>0.75062371418635787</v>
      </c>
      <c r="E38" s="1" t="s">
        <v>52</v>
      </c>
      <c r="G38" s="20">
        <f ca="1">G37/G39</f>
        <v>0.75004389490513146</v>
      </c>
      <c r="K38" s="1" t="str">
        <f t="shared" si="45"/>
        <v>Wireless</v>
      </c>
      <c r="L38" s="24">
        <f t="shared" si="46"/>
        <v>0.08</v>
      </c>
      <c r="M38" s="24">
        <v>0.01</v>
      </c>
      <c r="N38" s="6">
        <v>0.59620250979685352</v>
      </c>
      <c r="O38" s="45" t="str">
        <f t="shared" si="47"/>
        <v>||||||||||||||</v>
      </c>
      <c r="R38" s="1" t="s">
        <v>31</v>
      </c>
      <c r="S38" s="12">
        <f>T37</f>
        <v>33.168941944739288</v>
      </c>
    </row>
    <row r="39" spans="1:20" x14ac:dyDescent="0.3">
      <c r="B39" s="10" t="s">
        <v>24</v>
      </c>
      <c r="C39" s="31">
        <f ca="1">SUM(C36:C37)</f>
        <v>42909.237514571447</v>
      </c>
      <c r="E39" s="10" t="s">
        <v>24</v>
      </c>
      <c r="F39" s="9"/>
      <c r="G39" s="31">
        <f ca="1">SUM(G36:G37)</f>
        <v>42809.701625083057</v>
      </c>
      <c r="K39" s="1" t="str">
        <f t="shared" si="45"/>
        <v>Long Distance</v>
      </c>
      <c r="L39" s="24">
        <f t="shared" si="46"/>
        <v>-0.05</v>
      </c>
      <c r="M39" s="24">
        <v>0.01</v>
      </c>
      <c r="N39" s="6">
        <v>0.1842455669678813</v>
      </c>
      <c r="O39" s="45" t="str">
        <f t="shared" si="47"/>
        <v>||||</v>
      </c>
      <c r="R39" s="1" t="s">
        <v>71</v>
      </c>
      <c r="S39" s="12">
        <f>S40-S38</f>
        <v>9.5810580552607121</v>
      </c>
    </row>
    <row r="40" spans="1:20" x14ac:dyDescent="0.3">
      <c r="B40" s="1" t="s">
        <v>53</v>
      </c>
      <c r="C40" s="52">
        <f>-12272</f>
        <v>-12272</v>
      </c>
      <c r="E40" s="1" t="s">
        <v>53</v>
      </c>
      <c r="G40" s="52">
        <f>-12272</f>
        <v>-12272</v>
      </c>
      <c r="K40" s="1" t="str">
        <f t="shared" si="45"/>
        <v>Terminal Sales</v>
      </c>
      <c r="L40" s="24">
        <f t="shared" si="46"/>
        <v>-0.05</v>
      </c>
      <c r="M40" s="24">
        <v>0.01</v>
      </c>
      <c r="N40" s="6">
        <v>0.1658210102710953</v>
      </c>
      <c r="O40" s="45" t="str">
        <f t="shared" si="47"/>
        <v>||||</v>
      </c>
      <c r="R40" s="1" t="s">
        <v>70</v>
      </c>
      <c r="S40" s="1">
        <f>$G$47</f>
        <v>42.75</v>
      </c>
    </row>
    <row r="41" spans="1:20" x14ac:dyDescent="0.3">
      <c r="B41" s="1" t="s">
        <v>54</v>
      </c>
      <c r="C41" s="52">
        <f>-(27819+C42+C40-11697)</f>
        <v>-2180</v>
      </c>
      <c r="E41" s="1" t="s">
        <v>54</v>
      </c>
      <c r="G41" s="52">
        <f>-(27819+G42+G40-11697)</f>
        <v>-2180</v>
      </c>
      <c r="K41" s="1" t="str">
        <f t="shared" si="45"/>
        <v>Video Segment</v>
      </c>
      <c r="L41" s="24">
        <f t="shared" si="46"/>
        <v>0.06</v>
      </c>
      <c r="M41" s="24">
        <v>0.01</v>
      </c>
      <c r="N41" s="6">
        <v>0.19443367087698249</v>
      </c>
      <c r="O41" s="45" t="str">
        <f t="shared" si="47"/>
        <v>||||</v>
      </c>
    </row>
    <row r="42" spans="1:20" x14ac:dyDescent="0.3">
      <c r="B42" s="1" t="s">
        <v>55</v>
      </c>
      <c r="C42" s="52">
        <f>-1670</f>
        <v>-1670</v>
      </c>
      <c r="E42" s="1" t="s">
        <v>55</v>
      </c>
      <c r="G42" s="52">
        <f>-1670</f>
        <v>-1670</v>
      </c>
      <c r="K42" s="1" t="str">
        <f t="shared" si="45"/>
        <v>Op EX</v>
      </c>
      <c r="L42" s="24">
        <f t="shared" si="46"/>
        <v>0.58499999999999996</v>
      </c>
      <c r="M42" s="24">
        <v>0.01</v>
      </c>
      <c r="N42" s="6">
        <v>1.6097469336363233</v>
      </c>
      <c r="O42" s="45" t="str">
        <f t="shared" si="47"/>
        <v>||||||||||||||||||||||||||||||||||||||||</v>
      </c>
    </row>
    <row r="43" spans="1:20" x14ac:dyDescent="0.3">
      <c r="B43" s="10" t="s">
        <v>56</v>
      </c>
      <c r="C43" s="31">
        <f ca="1">SUM(C39:C42)</f>
        <v>26787.237514571447</v>
      </c>
      <c r="E43" s="10" t="s">
        <v>56</v>
      </c>
      <c r="F43" s="9"/>
      <c r="G43" s="31">
        <f ca="1">SUM(G39:G42)</f>
        <v>26687.701625083057</v>
      </c>
      <c r="K43" s="1" t="str">
        <f t="shared" si="45"/>
        <v xml:space="preserve">Benefit Cost </v>
      </c>
      <c r="L43" s="24">
        <f t="shared" si="46"/>
        <v>0.03</v>
      </c>
      <c r="M43" s="24">
        <v>0.01</v>
      </c>
      <c r="N43" s="6">
        <v>0.64873524241102132</v>
      </c>
      <c r="O43" s="45" t="str">
        <f t="shared" si="47"/>
        <v>||||||||||||||||</v>
      </c>
    </row>
    <row r="44" spans="1:20" x14ac:dyDescent="0.3">
      <c r="B44" s="1" t="s">
        <v>57</v>
      </c>
      <c r="C44" s="53">
        <v>807.6</v>
      </c>
      <c r="E44" s="1" t="s">
        <v>57</v>
      </c>
      <c r="G44" s="53">
        <v>807.6</v>
      </c>
      <c r="K44" s="1" t="str">
        <f t="shared" si="45"/>
        <v>Taxes</v>
      </c>
      <c r="L44" s="24">
        <f t="shared" si="46"/>
        <v>0.28377110694183866</v>
      </c>
      <c r="M44" s="24">
        <v>0.01</v>
      </c>
      <c r="N44" s="6">
        <v>0.20850019313559898</v>
      </c>
      <c r="O44" s="45" t="str">
        <f t="shared" si="47"/>
        <v>|||||</v>
      </c>
    </row>
    <row r="45" spans="1:20" x14ac:dyDescent="0.3">
      <c r="B45" s="10" t="s">
        <v>58</v>
      </c>
      <c r="C45" s="32">
        <f ca="1">C43/C44</f>
        <v>33.168941944739288</v>
      </c>
      <c r="E45" s="10" t="s">
        <v>58</v>
      </c>
      <c r="F45" s="9"/>
      <c r="G45" s="32">
        <f ca="1">G43/G44</f>
        <v>33.045692948344545</v>
      </c>
      <c r="K45" s="1" t="str">
        <f t="shared" si="45"/>
        <v>D&amp;A</v>
      </c>
      <c r="L45" s="24">
        <f t="shared" si="46"/>
        <v>0.18</v>
      </c>
      <c r="M45" s="24">
        <v>0.01</v>
      </c>
      <c r="N45" s="6">
        <v>0.25703000763501649</v>
      </c>
      <c r="O45" s="45" t="str">
        <f t="shared" si="47"/>
        <v>||||||</v>
      </c>
    </row>
    <row r="46" spans="1:20" x14ac:dyDescent="0.3">
      <c r="B46" s="1" t="s">
        <v>59</v>
      </c>
      <c r="C46" s="1">
        <v>29.15</v>
      </c>
      <c r="E46" s="1" t="s">
        <v>59</v>
      </c>
      <c r="G46" s="1">
        <v>29.15</v>
      </c>
      <c r="K46" s="1" t="str">
        <f t="shared" si="45"/>
        <v>Capex</v>
      </c>
      <c r="L46" s="24">
        <f t="shared" si="46"/>
        <v>0.18</v>
      </c>
      <c r="M46" s="24">
        <v>0.01</v>
      </c>
      <c r="N46" s="6">
        <v>0.90576525004604491</v>
      </c>
      <c r="O46" s="45" t="str">
        <f t="shared" si="47"/>
        <v>||||||||||||||||||||||</v>
      </c>
    </row>
    <row r="47" spans="1:20" x14ac:dyDescent="0.3">
      <c r="B47" s="1" t="s">
        <v>64</v>
      </c>
      <c r="C47" s="1">
        <v>42.75</v>
      </c>
      <c r="E47" s="1" t="s">
        <v>64</v>
      </c>
      <c r="G47" s="1">
        <v>42.75</v>
      </c>
      <c r="K47" s="1" t="str">
        <f t="shared" si="45"/>
        <v>NWC</v>
      </c>
      <c r="L47" s="24">
        <f t="shared" si="46"/>
        <v>0.04</v>
      </c>
      <c r="M47" s="24">
        <v>0.01</v>
      </c>
      <c r="N47" s="6">
        <v>0.2153979955628671</v>
      </c>
      <c r="O47" s="45" t="str">
        <f t="shared" si="47"/>
        <v>|||||</v>
      </c>
    </row>
    <row r="48" spans="1:20" x14ac:dyDescent="0.3">
      <c r="K48" s="1" t="str">
        <f t="shared" si="45"/>
        <v>Exit Multiple</v>
      </c>
      <c r="L48" s="25">
        <f t="shared" si="46"/>
        <v>6</v>
      </c>
      <c r="M48" s="25">
        <v>0.5</v>
      </c>
      <c r="N48" s="6">
        <v>3.3234987654874715</v>
      </c>
      <c r="O48" s="45" t="str">
        <f t="shared" si="47"/>
        <v>|||||||||||||||||||||||||||||||||||||||||||||||||||||||||||||||||||||||||||||||||||</v>
      </c>
    </row>
    <row r="49" spans="1:15" x14ac:dyDescent="0.3">
      <c r="B49" s="54" t="s">
        <v>65</v>
      </c>
      <c r="C49" s="55">
        <f ca="1">$C$47/C45-1</f>
        <v>0.2888563063369074</v>
      </c>
      <c r="E49" s="54" t="s">
        <v>65</v>
      </c>
      <c r="F49" s="58"/>
      <c r="G49" s="55">
        <f ca="1">$G$47/G45-1</f>
        <v>0.2936632942400319</v>
      </c>
      <c r="K49" s="1" t="str">
        <f t="shared" si="45"/>
        <v>Discount Rate</v>
      </c>
      <c r="L49" s="26">
        <f t="shared" si="46"/>
        <v>0.08</v>
      </c>
      <c r="M49" s="26">
        <v>0.01</v>
      </c>
      <c r="N49" s="6">
        <v>2.1416585182065084</v>
      </c>
      <c r="O49" s="45" t="str">
        <f t="shared" si="47"/>
        <v>|||||||||||||||||||||||||||||||||||||||||||||||||||||</v>
      </c>
    </row>
    <row r="50" spans="1:15" x14ac:dyDescent="0.3">
      <c r="B50" s="56" t="s">
        <v>66</v>
      </c>
      <c r="C50" s="57">
        <f>$C$47/C46-1</f>
        <v>0.46655231560891952</v>
      </c>
      <c r="E50" s="56" t="s">
        <v>66</v>
      </c>
      <c r="F50" s="59"/>
      <c r="G50" s="57">
        <f>$G$47/G46-1</f>
        <v>0.46655231560891952</v>
      </c>
    </row>
    <row r="52" spans="1:15" x14ac:dyDescent="0.3">
      <c r="B52" s="7">
        <f>-(C46*C44-SUM(C40:C42))</f>
        <v>-39663.54</v>
      </c>
      <c r="C52" s="12">
        <f ca="1">D27</f>
        <v>2615.3154231826929</v>
      </c>
      <c r="D52" s="12">
        <f ca="1">E27</f>
        <v>2641.6933621972121</v>
      </c>
      <c r="E52" s="12">
        <f ca="1">F27</f>
        <v>2676.9652454207321</v>
      </c>
      <c r="F52" s="12">
        <f ca="1">G27</f>
        <v>2721.3812901635124</v>
      </c>
      <c r="G52" s="12">
        <f ca="1">H27+H22*L19</f>
        <v>50100.362789766405</v>
      </c>
    </row>
    <row r="53" spans="1:15" x14ac:dyDescent="0.3">
      <c r="B53" s="35">
        <f ca="1">IRR(B52:G52)</f>
        <v>9.9223024744269583E-2</v>
      </c>
    </row>
    <row r="55" spans="1:15" x14ac:dyDescent="0.3">
      <c r="A55" s="1" t="s">
        <v>0</v>
      </c>
      <c r="B55" s="1" t="s">
        <v>9</v>
      </c>
      <c r="C55" s="8">
        <f>-3129</f>
        <v>-3129</v>
      </c>
      <c r="D55" s="7">
        <f ca="1">-D13*$L$16</f>
        <v>-3212.890218</v>
      </c>
      <c r="E55" s="7">
        <f ca="1">-E13*$L$16</f>
        <v>-3248.1436933800001</v>
      </c>
      <c r="F55" s="7">
        <f ca="1">-F13*$L$16</f>
        <v>-3294.3754842317999</v>
      </c>
      <c r="G55" s="7">
        <f ca="1">-G13*$L$16</f>
        <v>-3351.9042067917781</v>
      </c>
      <c r="H55" s="7">
        <f ca="1">-H13*$L$16</f>
        <v>-3421.0940494100532</v>
      </c>
    </row>
    <row r="56" spans="1:15" x14ac:dyDescent="0.3">
      <c r="B56" s="1" t="s">
        <v>19</v>
      </c>
      <c r="C56" s="28">
        <f>C13*4%</f>
        <v>708.52</v>
      </c>
      <c r="D56" s="7">
        <f ca="1">D13*$L$18</f>
        <v>713.97560400000009</v>
      </c>
      <c r="E56" s="7">
        <f ca="1">E13*$L$18</f>
        <v>721.80970964000005</v>
      </c>
      <c r="F56" s="7">
        <f ca="1">F13*$L$18</f>
        <v>732.08344094040001</v>
      </c>
      <c r="G56" s="7">
        <f ca="1">G13*$L$18</f>
        <v>744.86760150928399</v>
      </c>
      <c r="H56" s="7">
        <f ca="1">H13*$L$18</f>
        <v>760.24312209112293</v>
      </c>
    </row>
    <row r="58" spans="1:15" x14ac:dyDescent="0.3">
      <c r="A58" s="1" t="s">
        <v>0</v>
      </c>
      <c r="B58" s="2" t="s">
        <v>73</v>
      </c>
      <c r="C58" s="2"/>
      <c r="D58" s="2"/>
      <c r="E58" s="2"/>
      <c r="F58" s="2"/>
      <c r="G58" s="2"/>
      <c r="H58" s="2"/>
    </row>
    <row r="60" spans="1:15" ht="14.5" x14ac:dyDescent="0.45">
      <c r="B60" s="3" t="s">
        <v>2</v>
      </c>
      <c r="C60" s="4">
        <v>39082</v>
      </c>
      <c r="D60" s="4">
        <f>C60+365</f>
        <v>39447</v>
      </c>
      <c r="E60" s="4">
        <f t="shared" ref="E60:H60" si="49">D60+365</f>
        <v>39812</v>
      </c>
      <c r="F60" s="4">
        <f t="shared" si="49"/>
        <v>40177</v>
      </c>
      <c r="G60" s="4">
        <f t="shared" si="49"/>
        <v>40542</v>
      </c>
      <c r="H60" s="4">
        <f t="shared" si="49"/>
        <v>40907</v>
      </c>
    </row>
    <row r="61" spans="1:15" x14ac:dyDescent="0.3">
      <c r="B61" s="1" t="s">
        <v>32</v>
      </c>
      <c r="C61" s="12">
        <f>C13</f>
        <v>17713</v>
      </c>
      <c r="D61" s="12">
        <f t="shared" ref="D61:H61" ca="1" si="50">D13</f>
        <v>17849.390100000001</v>
      </c>
      <c r="E61" s="12">
        <f t="shared" ca="1" si="50"/>
        <v>18045.242741000002</v>
      </c>
      <c r="F61" s="12">
        <f t="shared" ca="1" si="50"/>
        <v>18302.086023510001</v>
      </c>
      <c r="G61" s="12">
        <f t="shared" ca="1" si="50"/>
        <v>18621.6900377321</v>
      </c>
      <c r="H61" s="12">
        <f t="shared" ca="1" si="50"/>
        <v>19006.078052278073</v>
      </c>
    </row>
    <row r="62" spans="1:15" x14ac:dyDescent="0.3">
      <c r="B62" s="17" t="s">
        <v>3</v>
      </c>
      <c r="D62" s="27">
        <f ca="1">D61/C61-1</f>
        <v>7.7000000000000401E-3</v>
      </c>
      <c r="E62" s="27">
        <f t="shared" ref="E62:H62" ca="1" si="51">E61/D61-1</f>
        <v>1.09725116602164E-2</v>
      </c>
      <c r="F62" s="27">
        <f t="shared" ca="1" si="51"/>
        <v>1.4233296065695678E-2</v>
      </c>
      <c r="G62" s="27">
        <f t="shared" ca="1" si="51"/>
        <v>1.7462709650230668E-2</v>
      </c>
      <c r="H62" s="27">
        <f t="shared" ca="1" si="51"/>
        <v>2.0641951067121633E-2</v>
      </c>
    </row>
    <row r="64" spans="1:15" x14ac:dyDescent="0.3">
      <c r="B64" s="48" t="s">
        <v>10</v>
      </c>
      <c r="C64" s="49">
        <f>C17</f>
        <v>7329</v>
      </c>
      <c r="D64" s="49">
        <f t="shared" ref="D64:H64" ca="1" si="52">D17</f>
        <v>7407.4968915000009</v>
      </c>
      <c r="E64" s="49">
        <f t="shared" ca="1" si="52"/>
        <v>7488.7757375150013</v>
      </c>
      <c r="F64" s="49">
        <f t="shared" ca="1" si="52"/>
        <v>7595.3656997566504</v>
      </c>
      <c r="G64" s="49">
        <f t="shared" ca="1" si="52"/>
        <v>7728.0013656588217</v>
      </c>
      <c r="H64" s="49">
        <f t="shared" ca="1" si="52"/>
        <v>7887.5223916954019</v>
      </c>
    </row>
    <row r="65" spans="1:8" x14ac:dyDescent="0.3">
      <c r="B65" s="17" t="s">
        <v>8</v>
      </c>
      <c r="C65" s="27">
        <f>C18</f>
        <v>0.4137639022187094</v>
      </c>
      <c r="D65" s="27">
        <f t="shared" ref="D65:H65" ca="1" si="53">D18</f>
        <v>0.41500000000000004</v>
      </c>
      <c r="E65" s="27">
        <f t="shared" ca="1" si="53"/>
        <v>0.41500000000000004</v>
      </c>
      <c r="F65" s="27">
        <f t="shared" ca="1" si="53"/>
        <v>0.41499999999999998</v>
      </c>
      <c r="G65" s="27">
        <f t="shared" ca="1" si="53"/>
        <v>0.41500000000000004</v>
      </c>
      <c r="H65" s="27">
        <f t="shared" ca="1" si="53"/>
        <v>0.41500000000000009</v>
      </c>
    </row>
    <row r="67" spans="1:8" x14ac:dyDescent="0.3">
      <c r="B67" s="50" t="s">
        <v>20</v>
      </c>
      <c r="C67" s="51">
        <f ca="1">C27</f>
        <v>2636.7359287054405</v>
      </c>
      <c r="D67" s="51">
        <f t="shared" ref="D67:H67" ca="1" si="54">D27</f>
        <v>2615.3154231826929</v>
      </c>
      <c r="E67" s="51">
        <f t="shared" ca="1" si="54"/>
        <v>2641.6933621972121</v>
      </c>
      <c r="F67" s="51">
        <f t="shared" ca="1" si="54"/>
        <v>2676.9652454207321</v>
      </c>
      <c r="G67" s="51">
        <f t="shared" ca="1" si="54"/>
        <v>2721.3812901635124</v>
      </c>
      <c r="H67" s="51">
        <f t="shared" ca="1" si="54"/>
        <v>2775.2284395939914</v>
      </c>
    </row>
    <row r="68" spans="1:8" x14ac:dyDescent="0.3">
      <c r="B68" s="17" t="s">
        <v>17</v>
      </c>
      <c r="C68" s="20">
        <f t="shared" ref="C68:H69" ca="1" si="55">C28</f>
        <v>6.1449144320265249E-2</v>
      </c>
      <c r="D68" s="20">
        <f t="shared" ca="1" si="55"/>
        <v>6.0949939329370838E-2</v>
      </c>
      <c r="E68" s="20">
        <f t="shared" ca="1" si="55"/>
        <v>6.1564677333176235E-2</v>
      </c>
      <c r="F68" s="20">
        <f t="shared" ca="1" si="55"/>
        <v>6.2386688752315109E-2</v>
      </c>
      <c r="G68" s="20">
        <f t="shared" ca="1" si="55"/>
        <v>6.3421804902484336E-2</v>
      </c>
      <c r="H68" s="20">
        <f t="shared" ca="1" si="55"/>
        <v>6.4676712995693719E-2</v>
      </c>
    </row>
    <row r="69" spans="1:8" x14ac:dyDescent="0.3">
      <c r="B69" s="17" t="s">
        <v>18</v>
      </c>
      <c r="C69" s="20">
        <f t="shared" ca="1" si="55"/>
        <v>0.35976748924893442</v>
      </c>
      <c r="D69" s="20">
        <f t="shared" ca="1" si="55"/>
        <v>0.35306331700033933</v>
      </c>
      <c r="E69" s="20">
        <f t="shared" ca="1" si="55"/>
        <v>0.3527537016449373</v>
      </c>
      <c r="F69" s="20">
        <f t="shared" ca="1" si="55"/>
        <v>0.35244718309040735</v>
      </c>
      <c r="G69" s="20">
        <f t="shared" ca="1" si="55"/>
        <v>0.35214554985155744</v>
      </c>
      <c r="H69" s="20">
        <f t="shared" ca="1" si="55"/>
        <v>0.35185046733001585</v>
      </c>
    </row>
    <row r="74" spans="1:8" x14ac:dyDescent="0.3">
      <c r="A74" s="1" t="s">
        <v>0</v>
      </c>
      <c r="B74" s="2" t="s">
        <v>74</v>
      </c>
      <c r="C74" s="2"/>
      <c r="D74" s="2"/>
      <c r="E74" s="2"/>
      <c r="F74" s="2"/>
      <c r="G74" s="2"/>
      <c r="H74" s="2"/>
    </row>
    <row r="75" spans="1:8" ht="14.5" x14ac:dyDescent="0.45">
      <c r="D75" s="4" t="s">
        <v>61</v>
      </c>
      <c r="E75" s="4" t="s">
        <v>78</v>
      </c>
      <c r="F75" s="4" t="s">
        <v>79</v>
      </c>
    </row>
    <row r="76" spans="1:8" x14ac:dyDescent="0.3">
      <c r="B76" s="1" t="s">
        <v>75</v>
      </c>
      <c r="D76" s="1">
        <v>46.4</v>
      </c>
      <c r="E76" s="25">
        <v>12.1</v>
      </c>
      <c r="F76" s="25">
        <v>18.600000000000001</v>
      </c>
    </row>
    <row r="77" spans="1:8" x14ac:dyDescent="0.3">
      <c r="B77" s="1" t="s">
        <v>76</v>
      </c>
      <c r="D77" s="1">
        <v>16.600000000000001</v>
      </c>
      <c r="E77" s="25">
        <v>48.9</v>
      </c>
      <c r="F77" s="25">
        <v>32.9</v>
      </c>
    </row>
    <row r="78" spans="1:8" x14ac:dyDescent="0.3">
      <c r="B78" s="1" t="s">
        <v>77</v>
      </c>
      <c r="D78" s="1">
        <v>53.5</v>
      </c>
      <c r="E78" s="25">
        <v>23.4</v>
      </c>
      <c r="F78" s="25">
        <v>18.100000000000001</v>
      </c>
    </row>
    <row r="79" spans="1:8" x14ac:dyDescent="0.3">
      <c r="B79" s="48" t="s">
        <v>33</v>
      </c>
      <c r="C79" s="48"/>
      <c r="D79" s="61">
        <f>MEDIAN(D76:D78)</f>
        <v>46.4</v>
      </c>
      <c r="E79" s="62">
        <f>MEDIAN(E76:E78)</f>
        <v>23.4</v>
      </c>
      <c r="F79" s="62">
        <f>MEDIAN(F76:F78)</f>
        <v>18.600000000000001</v>
      </c>
    </row>
    <row r="80" spans="1:8" x14ac:dyDescent="0.3">
      <c r="E80" s="25"/>
      <c r="F80" s="25"/>
    </row>
    <row r="81" spans="2:6" x14ac:dyDescent="0.3">
      <c r="B81" s="60" t="s">
        <v>80</v>
      </c>
      <c r="C81" s="60"/>
      <c r="D81" s="60">
        <v>29.15</v>
      </c>
      <c r="E81" s="65" t="s">
        <v>34</v>
      </c>
      <c r="F81" s="63">
        <f>D81*C44/1937</f>
        <v>12.153608673205989</v>
      </c>
    </row>
    <row r="82" spans="2:6" x14ac:dyDescent="0.3">
      <c r="E82" s="25"/>
      <c r="F82" s="25"/>
    </row>
    <row r="83" spans="2:6" x14ac:dyDescent="0.3">
      <c r="B83" s="50" t="s">
        <v>81</v>
      </c>
      <c r="C83" s="50"/>
      <c r="D83" s="50">
        <v>42.75</v>
      </c>
      <c r="E83" s="66" t="s">
        <v>34</v>
      </c>
      <c r="F83" s="64">
        <f>D83*C44/1937</f>
        <v>17.82390294269489</v>
      </c>
    </row>
  </sheetData>
  <mergeCells count="2">
    <mergeCell ref="E35:F35"/>
    <mergeCell ref="N35:O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Nathaniel Littkemann</cp:lastModifiedBy>
  <dcterms:created xsi:type="dcterms:W3CDTF">2015-06-05T18:17:20Z</dcterms:created>
  <dcterms:modified xsi:type="dcterms:W3CDTF">2024-11-16T22:44:29Z</dcterms:modified>
</cp:coreProperties>
</file>