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urface\Downloads\"/>
    </mc:Choice>
  </mc:AlternateContent>
  <xr:revisionPtr revIDLastSave="0" documentId="13_ncr:1_{4F6B5F31-0F28-4E5F-8F51-3537CBE85EF7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Model" sheetId="1" r:id="rId1"/>
  </sheets>
  <definedNames>
    <definedName name="_xlchart.v1.0" hidden="1">Model!$L$198:$L$201</definedName>
    <definedName name="_xlchart.v1.1" hidden="1">Model!$M$198:$M$201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9" i="1" l="1"/>
  <c r="AA49" i="1"/>
  <c r="Y49" i="1"/>
  <c r="P17" i="1"/>
  <c r="Q17" i="1"/>
  <c r="R17" i="1"/>
  <c r="S17" i="1"/>
  <c r="T17" i="1"/>
  <c r="U17" i="1"/>
  <c r="V17" i="1"/>
  <c r="O17" i="1"/>
  <c r="AE83" i="1"/>
  <c r="X51" i="1" s="1"/>
  <c r="AE50" i="1"/>
  <c r="AE10" i="1"/>
  <c r="F66" i="1"/>
  <c r="M200" i="1" s="1"/>
  <c r="AE51" i="1"/>
  <c r="F55" i="1"/>
  <c r="F54" i="1" s="1"/>
  <c r="D55" i="1"/>
  <c r="C55" i="1" s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F76" i="1"/>
  <c r="AE59" i="1"/>
  <c r="E102" i="1" s="1"/>
  <c r="AE60" i="1"/>
  <c r="F105" i="1" s="1"/>
  <c r="AE61" i="1"/>
  <c r="AE62" i="1"/>
  <c r="E114" i="1" s="1"/>
  <c r="AE63" i="1"/>
  <c r="G117" i="1" s="1"/>
  <c r="AE64" i="1"/>
  <c r="AE65" i="1"/>
  <c r="E126" i="1" s="1"/>
  <c r="AE66" i="1"/>
  <c r="F129" i="1" s="1"/>
  <c r="AE67" i="1"/>
  <c r="AE68" i="1"/>
  <c r="E138" i="1" s="1"/>
  <c r="AE69" i="1"/>
  <c r="G141" i="1" s="1"/>
  <c r="AE70" i="1"/>
  <c r="AE71" i="1"/>
  <c r="E151" i="1" s="1"/>
  <c r="AE72" i="1"/>
  <c r="F154" i="1" s="1"/>
  <c r="AE73" i="1"/>
  <c r="AE74" i="1"/>
  <c r="E164" i="1" s="1"/>
  <c r="AE75" i="1"/>
  <c r="F167" i="1" s="1"/>
  <c r="AE76" i="1"/>
  <c r="AE77" i="1"/>
  <c r="E176" i="1" s="1"/>
  <c r="AE78" i="1"/>
  <c r="F179" i="1" s="1"/>
  <c r="AE79" i="1"/>
  <c r="AE80" i="1"/>
  <c r="AE81" i="1"/>
  <c r="F191" i="1" s="1"/>
  <c r="AE82" i="1"/>
  <c r="E202" i="1"/>
  <c r="E200" i="1"/>
  <c r="C212" i="1"/>
  <c r="E212" i="1" s="1"/>
  <c r="C211" i="1"/>
  <c r="E211" i="1" s="1"/>
  <c r="C210" i="1"/>
  <c r="E210" i="1" s="1"/>
  <c r="C206" i="1"/>
  <c r="E206" i="1" s="1"/>
  <c r="C205" i="1"/>
  <c r="E205" i="1" s="1"/>
  <c r="C204" i="1"/>
  <c r="E204" i="1" s="1"/>
  <c r="C203" i="1"/>
  <c r="E203" i="1" s="1"/>
  <c r="F64" i="1"/>
  <c r="M198" i="1" s="1"/>
  <c r="Y219" i="1" s="1"/>
  <c r="AF45" i="1"/>
  <c r="AE45" i="1" s="1"/>
  <c r="F41" i="1" s="1"/>
  <c r="Y223" i="1" s="1"/>
  <c r="AC223" i="1" s="1"/>
  <c r="AE53" i="1"/>
  <c r="E78" i="1" s="1"/>
  <c r="F75" i="1" s="1"/>
  <c r="AE54" i="1"/>
  <c r="F81" i="1" s="1"/>
  <c r="AE55" i="1"/>
  <c r="AE56" i="1"/>
  <c r="E90" i="1" s="1"/>
  <c r="AE57" i="1"/>
  <c r="F93" i="1" s="1"/>
  <c r="AE58" i="1"/>
  <c r="AE173" i="1"/>
  <c r="AE174" i="1"/>
  <c r="AE49" i="1"/>
  <c r="E36" i="1"/>
  <c r="D36" i="1"/>
  <c r="C36" i="1"/>
  <c r="AF43" i="1" s="1"/>
  <c r="AF42" i="1"/>
  <c r="AE42" i="1" s="1"/>
  <c r="AF41" i="1"/>
  <c r="AE41" i="1" s="1"/>
  <c r="AE44" i="1"/>
  <c r="AE46" i="1"/>
  <c r="AE47" i="1"/>
  <c r="AE48" i="1"/>
  <c r="AF40" i="1"/>
  <c r="AE40" i="1" s="1"/>
  <c r="AF37" i="1"/>
  <c r="AE37" i="1" s="1"/>
  <c r="AF35" i="1"/>
  <c r="AE35" i="1" s="1"/>
  <c r="AE36" i="1"/>
  <c r="AE38" i="1"/>
  <c r="F26" i="1" s="1"/>
  <c r="AE39" i="1"/>
  <c r="AF33" i="1"/>
  <c r="AE33" i="1" s="1"/>
  <c r="AE30" i="1"/>
  <c r="D5" i="1"/>
  <c r="C5" i="1" s="1"/>
  <c r="AE34" i="1"/>
  <c r="AE32" i="1"/>
  <c r="AE31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F13" i="1" s="1"/>
  <c r="AE9" i="1"/>
  <c r="G10" i="1" s="1"/>
  <c r="AE8" i="1"/>
  <c r="E28" i="1"/>
  <c r="E31" i="1" s="1"/>
  <c r="D28" i="1"/>
  <c r="C28" i="1"/>
  <c r="D11" i="1"/>
  <c r="E11" i="1"/>
  <c r="C11" i="1"/>
  <c r="D24" i="1"/>
  <c r="D21" i="1"/>
  <c r="C21" i="1"/>
  <c r="D18" i="1"/>
  <c r="D13" i="1" s="1"/>
  <c r="E18" i="1"/>
  <c r="C18" i="1"/>
  <c r="C13" i="1" s="1"/>
  <c r="F5" i="1"/>
  <c r="G5" i="1" s="1"/>
  <c r="C31" i="1" l="1"/>
  <c r="U41" i="1"/>
  <c r="P41" i="1"/>
  <c r="O41" i="1"/>
  <c r="N41" i="1"/>
  <c r="M41" i="1"/>
  <c r="H41" i="1"/>
  <c r="G41" i="1"/>
  <c r="V41" i="1"/>
  <c r="T41" i="1"/>
  <c r="L41" i="1"/>
  <c r="S41" i="1"/>
  <c r="K41" i="1"/>
  <c r="R41" i="1"/>
  <c r="J41" i="1"/>
  <c r="Q41" i="1"/>
  <c r="I41" i="1"/>
  <c r="Y51" i="1"/>
  <c r="AA51" i="1"/>
  <c r="Z51" i="1"/>
  <c r="V191" i="1"/>
  <c r="U191" i="1"/>
  <c r="T191" i="1"/>
  <c r="S191" i="1"/>
  <c r="R191" i="1"/>
  <c r="D31" i="1"/>
  <c r="V29" i="1"/>
  <c r="G55" i="1"/>
  <c r="M191" i="1"/>
  <c r="L191" i="1"/>
  <c r="K191" i="1"/>
  <c r="J191" i="1"/>
  <c r="Q191" i="1"/>
  <c r="I191" i="1"/>
  <c r="P191" i="1"/>
  <c r="H191" i="1"/>
  <c r="N191" i="1"/>
  <c r="L179" i="1"/>
  <c r="O191" i="1"/>
  <c r="G191" i="1"/>
  <c r="V179" i="1"/>
  <c r="T179" i="1"/>
  <c r="S179" i="1"/>
  <c r="N179" i="1"/>
  <c r="K179" i="1"/>
  <c r="U179" i="1"/>
  <c r="M179" i="1"/>
  <c r="R179" i="1"/>
  <c r="J179" i="1"/>
  <c r="Q179" i="1"/>
  <c r="I179" i="1"/>
  <c r="P179" i="1"/>
  <c r="H179" i="1"/>
  <c r="O179" i="1"/>
  <c r="G179" i="1"/>
  <c r="N167" i="1"/>
  <c r="L167" i="1"/>
  <c r="M167" i="1"/>
  <c r="K167" i="1"/>
  <c r="R167" i="1"/>
  <c r="J167" i="1"/>
  <c r="Q167" i="1"/>
  <c r="I167" i="1"/>
  <c r="P167" i="1"/>
  <c r="H167" i="1"/>
  <c r="N154" i="1"/>
  <c r="O167" i="1"/>
  <c r="G167" i="1"/>
  <c r="V154" i="1"/>
  <c r="U154" i="1"/>
  <c r="M154" i="1"/>
  <c r="K154" i="1"/>
  <c r="R154" i="1"/>
  <c r="J154" i="1"/>
  <c r="T154" i="1"/>
  <c r="Q154" i="1"/>
  <c r="I154" i="1"/>
  <c r="P154" i="1"/>
  <c r="H154" i="1"/>
  <c r="L154" i="1"/>
  <c r="S154" i="1"/>
  <c r="O154" i="1"/>
  <c r="G154" i="1"/>
  <c r="N141" i="1"/>
  <c r="M141" i="1"/>
  <c r="L141" i="1"/>
  <c r="R141" i="1"/>
  <c r="J141" i="1"/>
  <c r="T129" i="1"/>
  <c r="Q141" i="1"/>
  <c r="I141" i="1"/>
  <c r="K141" i="1"/>
  <c r="N129" i="1"/>
  <c r="P141" i="1"/>
  <c r="H141" i="1"/>
  <c r="L129" i="1"/>
  <c r="O141" i="1"/>
  <c r="V129" i="1"/>
  <c r="F141" i="1"/>
  <c r="U129" i="1"/>
  <c r="M129" i="1"/>
  <c r="S129" i="1"/>
  <c r="K129" i="1"/>
  <c r="R129" i="1"/>
  <c r="J129" i="1"/>
  <c r="Q129" i="1"/>
  <c r="I129" i="1"/>
  <c r="P129" i="1"/>
  <c r="H129" i="1"/>
  <c r="O129" i="1"/>
  <c r="G129" i="1"/>
  <c r="N117" i="1"/>
  <c r="M117" i="1"/>
  <c r="L117" i="1"/>
  <c r="K117" i="1"/>
  <c r="R117" i="1"/>
  <c r="J117" i="1"/>
  <c r="Q117" i="1"/>
  <c r="I117" i="1"/>
  <c r="N105" i="1"/>
  <c r="P117" i="1"/>
  <c r="H117" i="1"/>
  <c r="H105" i="1"/>
  <c r="O117" i="1"/>
  <c r="U105" i="1"/>
  <c r="P105" i="1"/>
  <c r="O105" i="1"/>
  <c r="M105" i="1"/>
  <c r="G105" i="1"/>
  <c r="V105" i="1"/>
  <c r="F117" i="1"/>
  <c r="H93" i="1"/>
  <c r="T105" i="1"/>
  <c r="L105" i="1"/>
  <c r="S105" i="1"/>
  <c r="K105" i="1"/>
  <c r="R105" i="1"/>
  <c r="J105" i="1"/>
  <c r="Q105" i="1"/>
  <c r="I105" i="1"/>
  <c r="P93" i="1"/>
  <c r="O93" i="1"/>
  <c r="G93" i="1"/>
  <c r="N93" i="1"/>
  <c r="U93" i="1"/>
  <c r="M93" i="1"/>
  <c r="T93" i="1"/>
  <c r="L93" i="1"/>
  <c r="S93" i="1"/>
  <c r="K93" i="1"/>
  <c r="R93" i="1"/>
  <c r="J93" i="1"/>
  <c r="V93" i="1"/>
  <c r="Q93" i="1"/>
  <c r="I93" i="1"/>
  <c r="V81" i="1"/>
  <c r="U81" i="1"/>
  <c r="T81" i="1"/>
  <c r="N81" i="1"/>
  <c r="M81" i="1"/>
  <c r="L81" i="1"/>
  <c r="S81" i="1"/>
  <c r="K81" i="1"/>
  <c r="R81" i="1"/>
  <c r="J81" i="1"/>
  <c r="Q81" i="1"/>
  <c r="I81" i="1"/>
  <c r="P81" i="1"/>
  <c r="H81" i="1"/>
  <c r="O81" i="1"/>
  <c r="G81" i="1"/>
  <c r="F185" i="1"/>
  <c r="F173" i="1"/>
  <c r="F111" i="1"/>
  <c r="F161" i="1"/>
  <c r="F148" i="1"/>
  <c r="F123" i="1"/>
  <c r="F135" i="1"/>
  <c r="F99" i="1"/>
  <c r="F87" i="1"/>
  <c r="E213" i="1"/>
  <c r="E207" i="1"/>
  <c r="C207" i="1"/>
  <c r="C213" i="1"/>
  <c r="F65" i="1"/>
  <c r="M199" i="1" s="1"/>
  <c r="M201" i="1" s="1"/>
  <c r="AC219" i="1" s="1"/>
  <c r="C32" i="1"/>
  <c r="C33" i="1" s="1"/>
  <c r="H29" i="1"/>
  <c r="V26" i="1"/>
  <c r="U29" i="1"/>
  <c r="M29" i="1"/>
  <c r="U26" i="1"/>
  <c r="M26" i="1"/>
  <c r="O26" i="1"/>
  <c r="N29" i="1"/>
  <c r="N26" i="1"/>
  <c r="T29" i="1"/>
  <c r="L29" i="1"/>
  <c r="T26" i="1"/>
  <c r="L26" i="1"/>
  <c r="O29" i="1"/>
  <c r="G26" i="1"/>
  <c r="K26" i="1"/>
  <c r="R29" i="1"/>
  <c r="J29" i="1"/>
  <c r="R26" i="1"/>
  <c r="J26" i="1"/>
  <c r="G29" i="1"/>
  <c r="K29" i="1"/>
  <c r="Q29" i="1"/>
  <c r="I29" i="1"/>
  <c r="Q26" i="1"/>
  <c r="I26" i="1"/>
  <c r="S29" i="1"/>
  <c r="S26" i="1"/>
  <c r="P29" i="1"/>
  <c r="P26" i="1"/>
  <c r="H26" i="1"/>
  <c r="F29" i="1"/>
  <c r="AC224" i="1" s="1"/>
  <c r="AE43" i="1"/>
  <c r="F12" i="1" a="1"/>
  <c r="G13" i="1"/>
  <c r="H10" i="1"/>
  <c r="F10" i="1"/>
  <c r="E19" i="1"/>
  <c r="E32" i="1"/>
  <c r="U11" i="1"/>
  <c r="O11" i="1"/>
  <c r="M11" i="1"/>
  <c r="G11" i="1"/>
  <c r="T11" i="1"/>
  <c r="L11" i="1"/>
  <c r="S11" i="1"/>
  <c r="K11" i="1"/>
  <c r="R11" i="1"/>
  <c r="J11" i="1"/>
  <c r="Q11" i="1"/>
  <c r="I11" i="1"/>
  <c r="P11" i="1"/>
  <c r="H11" i="1"/>
  <c r="V11" i="1"/>
  <c r="N11" i="1"/>
  <c r="F11" i="1"/>
  <c r="D19" i="1"/>
  <c r="E13" i="1"/>
  <c r="D32" i="1"/>
  <c r="D33" i="1" s="1"/>
  <c r="H5" i="1"/>
  <c r="H224" i="1" s="1"/>
  <c r="G4" i="1"/>
  <c r="F4" i="1"/>
  <c r="H226" i="1" l="1"/>
  <c r="I226" i="1"/>
  <c r="J226" i="1"/>
  <c r="N226" i="1"/>
  <c r="O226" i="1"/>
  <c r="P226" i="1"/>
  <c r="K226" i="1"/>
  <c r="L226" i="1"/>
  <c r="M226" i="1"/>
  <c r="I10" i="1"/>
  <c r="I225" i="1" s="1"/>
  <c r="H225" i="1"/>
  <c r="H13" i="1"/>
  <c r="I13" i="1" s="1"/>
  <c r="J13" i="1" s="1"/>
  <c r="K13" i="1" s="1"/>
  <c r="F12" i="1"/>
  <c r="F9" i="1" s="1"/>
  <c r="H55" i="1"/>
  <c r="G54" i="1"/>
  <c r="E215" i="1"/>
  <c r="C215" i="1"/>
  <c r="E39" i="1"/>
  <c r="E40" i="1" s="1"/>
  <c r="E33" i="1"/>
  <c r="H36" i="1"/>
  <c r="I36" i="1"/>
  <c r="G36" i="1"/>
  <c r="F36" i="1"/>
  <c r="G9" i="1"/>
  <c r="G18" i="1" s="1"/>
  <c r="H9" i="1"/>
  <c r="D39" i="1"/>
  <c r="D40" i="1" s="1"/>
  <c r="E34" i="1"/>
  <c r="C39" i="1"/>
  <c r="C40" i="1" s="1"/>
  <c r="D34" i="1"/>
  <c r="I5" i="1"/>
  <c r="I224" i="1" s="1"/>
  <c r="H4" i="1"/>
  <c r="I9" i="1" l="1"/>
  <c r="I18" i="1" s="1"/>
  <c r="I30" i="1"/>
  <c r="J10" i="1"/>
  <c r="J225" i="1" s="1"/>
  <c r="H18" i="1"/>
  <c r="H30" i="1" s="1"/>
  <c r="F18" i="1"/>
  <c r="F30" i="1" s="1"/>
  <c r="J30" i="1"/>
  <c r="L13" i="1"/>
  <c r="M13" i="1" s="1"/>
  <c r="N13" i="1" s="1"/>
  <c r="O13" i="1" s="1"/>
  <c r="H54" i="1"/>
  <c r="I55" i="1"/>
  <c r="J5" i="1"/>
  <c r="J224" i="1" s="1"/>
  <c r="I4" i="1"/>
  <c r="K10" i="1" l="1"/>
  <c r="K225" i="1" s="1"/>
  <c r="F23" i="1"/>
  <c r="F25" i="1"/>
  <c r="F22" i="1"/>
  <c r="F24" i="1"/>
  <c r="F27" i="1"/>
  <c r="F28" i="1"/>
  <c r="F21" i="1"/>
  <c r="F19" i="1"/>
  <c r="G30" i="1"/>
  <c r="I23" i="1"/>
  <c r="H28" i="1"/>
  <c r="I22" i="1"/>
  <c r="J36" i="1"/>
  <c r="J9" i="1"/>
  <c r="J18" i="1" s="1"/>
  <c r="H27" i="1"/>
  <c r="H25" i="1"/>
  <c r="H24" i="1"/>
  <c r="I28" i="1"/>
  <c r="H22" i="1"/>
  <c r="I27" i="1"/>
  <c r="I25" i="1"/>
  <c r="H23" i="1"/>
  <c r="H21" i="1"/>
  <c r="I19" i="1"/>
  <c r="I24" i="1"/>
  <c r="I21" i="1"/>
  <c r="P13" i="1"/>
  <c r="G22" i="1"/>
  <c r="G27" i="1"/>
  <c r="G25" i="1"/>
  <c r="G24" i="1"/>
  <c r="G23" i="1"/>
  <c r="G28" i="1"/>
  <c r="G19" i="1"/>
  <c r="G21" i="1"/>
  <c r="H19" i="1"/>
  <c r="I54" i="1"/>
  <c r="J55" i="1"/>
  <c r="K5" i="1"/>
  <c r="K224" i="1" s="1"/>
  <c r="J4" i="1"/>
  <c r="K30" i="1" l="1"/>
  <c r="L10" i="1"/>
  <c r="Y221" i="1"/>
  <c r="AC221" i="1" s="1"/>
  <c r="F31" i="1"/>
  <c r="F32" i="1" s="1"/>
  <c r="F39" i="1" s="1"/>
  <c r="G31" i="1"/>
  <c r="I31" i="1"/>
  <c r="I32" i="1" s="1"/>
  <c r="H31" i="1"/>
  <c r="H32" i="1" s="1"/>
  <c r="K36" i="1"/>
  <c r="K9" i="1"/>
  <c r="K18" i="1" s="1"/>
  <c r="Q13" i="1"/>
  <c r="K55" i="1"/>
  <c r="J54" i="1"/>
  <c r="L5" i="1"/>
  <c r="L224" i="1" s="1"/>
  <c r="K4" i="1"/>
  <c r="I33" i="1" l="1"/>
  <c r="I227" i="1"/>
  <c r="H39" i="1"/>
  <c r="H40" i="1" s="1"/>
  <c r="H44" i="1" s="1"/>
  <c r="H67" i="1" s="1"/>
  <c r="H227" i="1"/>
  <c r="M10" i="1"/>
  <c r="M225" i="1" s="1"/>
  <c r="L225" i="1"/>
  <c r="L30" i="1"/>
  <c r="F34" i="1"/>
  <c r="F33" i="1"/>
  <c r="I39" i="1"/>
  <c r="I40" i="1" s="1"/>
  <c r="I44" i="1" s="1"/>
  <c r="L36" i="1"/>
  <c r="L9" i="1"/>
  <c r="L18" i="1" s="1"/>
  <c r="J21" i="1"/>
  <c r="J27" i="1"/>
  <c r="J22" i="1"/>
  <c r="J24" i="1"/>
  <c r="J25" i="1"/>
  <c r="J19" i="1"/>
  <c r="J23" i="1"/>
  <c r="J28" i="1"/>
  <c r="H33" i="1"/>
  <c r="I34" i="1"/>
  <c r="R13" i="1"/>
  <c r="G32" i="1"/>
  <c r="L55" i="1"/>
  <c r="K54" i="1"/>
  <c r="F40" i="1"/>
  <c r="F44" i="1" s="1"/>
  <c r="M5" i="1"/>
  <c r="M224" i="1" s="1"/>
  <c r="L4" i="1"/>
  <c r="N10" i="1" l="1"/>
  <c r="N225" i="1" s="1"/>
  <c r="M30" i="1"/>
  <c r="J31" i="1"/>
  <c r="I67" i="1"/>
  <c r="M36" i="1"/>
  <c r="M9" i="1"/>
  <c r="M18" i="1" s="1"/>
  <c r="K28" i="1"/>
  <c r="K27" i="1"/>
  <c r="K22" i="1"/>
  <c r="K23" i="1"/>
  <c r="K25" i="1"/>
  <c r="K21" i="1"/>
  <c r="K24" i="1"/>
  <c r="K19" i="1"/>
  <c r="L19" i="1"/>
  <c r="L21" i="1"/>
  <c r="L23" i="1"/>
  <c r="L25" i="1"/>
  <c r="L27" i="1"/>
  <c r="L22" i="1"/>
  <c r="L24" i="1"/>
  <c r="L28" i="1"/>
  <c r="G34" i="1"/>
  <c r="G33" i="1"/>
  <c r="H34" i="1"/>
  <c r="G39" i="1"/>
  <c r="S13" i="1"/>
  <c r="M55" i="1"/>
  <c r="L54" i="1"/>
  <c r="F67" i="1"/>
  <c r="N5" i="1"/>
  <c r="N224" i="1" s="1"/>
  <c r="M4" i="1"/>
  <c r="N30" i="1" l="1"/>
  <c r="O10" i="1"/>
  <c r="O225" i="1" s="1"/>
  <c r="K31" i="1"/>
  <c r="L31" i="1"/>
  <c r="L32" i="1" s="1"/>
  <c r="L227" i="1" s="1"/>
  <c r="N9" i="1"/>
  <c r="N18" i="1" s="1"/>
  <c r="N36" i="1"/>
  <c r="M21" i="1"/>
  <c r="M22" i="1"/>
  <c r="M23" i="1"/>
  <c r="M24" i="1"/>
  <c r="M28" i="1"/>
  <c r="M25" i="1"/>
  <c r="M19" i="1"/>
  <c r="M27" i="1"/>
  <c r="J32" i="1"/>
  <c r="J227" i="1" s="1"/>
  <c r="T13" i="1"/>
  <c r="G40" i="1"/>
  <c r="N55" i="1"/>
  <c r="M54" i="1"/>
  <c r="O5" i="1"/>
  <c r="O224" i="1" s="1"/>
  <c r="N4" i="1"/>
  <c r="P10" i="1" l="1"/>
  <c r="P225" i="1" s="1"/>
  <c r="O30" i="1"/>
  <c r="M31" i="1"/>
  <c r="M32" i="1" s="1"/>
  <c r="M227" i="1" s="1"/>
  <c r="N27" i="1"/>
  <c r="N19" i="1"/>
  <c r="N28" i="1"/>
  <c r="N22" i="1"/>
  <c r="N21" i="1"/>
  <c r="N23" i="1"/>
  <c r="N24" i="1"/>
  <c r="N25" i="1"/>
  <c r="J33" i="1"/>
  <c r="J39" i="1"/>
  <c r="J34" i="1"/>
  <c r="L33" i="1"/>
  <c r="L39" i="1"/>
  <c r="L40" i="1" s="1"/>
  <c r="L44" i="1" s="1"/>
  <c r="K32" i="1"/>
  <c r="K227" i="1" s="1"/>
  <c r="O9" i="1"/>
  <c r="O18" i="1" s="1"/>
  <c r="O36" i="1"/>
  <c r="G44" i="1"/>
  <c r="U13" i="1"/>
  <c r="N54" i="1"/>
  <c r="O55" i="1"/>
  <c r="P5" i="1"/>
  <c r="P224" i="1" s="1"/>
  <c r="O4" i="1"/>
  <c r="P30" i="1" l="1"/>
  <c r="Q10" i="1"/>
  <c r="R10" i="1" s="1"/>
  <c r="Q30" i="1"/>
  <c r="N31" i="1"/>
  <c r="P36" i="1"/>
  <c r="P9" i="1"/>
  <c r="P18" i="1" s="1"/>
  <c r="J40" i="1"/>
  <c r="M34" i="1"/>
  <c r="M33" i="1"/>
  <c r="M39" i="1"/>
  <c r="M40" i="1" s="1"/>
  <c r="M44" i="1" s="1"/>
  <c r="K33" i="1"/>
  <c r="K34" i="1"/>
  <c r="K39" i="1"/>
  <c r="L34" i="1"/>
  <c r="L67" i="1"/>
  <c r="V13" i="1"/>
  <c r="G67" i="1"/>
  <c r="O54" i="1"/>
  <c r="P55" i="1"/>
  <c r="Q5" i="1"/>
  <c r="P4" i="1"/>
  <c r="S10" i="1" l="1"/>
  <c r="R30" i="1"/>
  <c r="P21" i="1"/>
  <c r="P22" i="1"/>
  <c r="P23" i="1"/>
  <c r="P28" i="1"/>
  <c r="P19" i="1"/>
  <c r="P24" i="1"/>
  <c r="P27" i="1"/>
  <c r="P25" i="1"/>
  <c r="N32" i="1"/>
  <c r="N227" i="1" s="1"/>
  <c r="Q9" i="1"/>
  <c r="Q18" i="1" s="1"/>
  <c r="Q36" i="1"/>
  <c r="J44" i="1"/>
  <c r="K40" i="1"/>
  <c r="O28" i="1"/>
  <c r="O21" i="1"/>
  <c r="O25" i="1"/>
  <c r="O22" i="1"/>
  <c r="O23" i="1"/>
  <c r="O27" i="1"/>
  <c r="O24" i="1"/>
  <c r="O19" i="1"/>
  <c r="M67" i="1"/>
  <c r="P54" i="1"/>
  <c r="Q55" i="1"/>
  <c r="R5" i="1"/>
  <c r="Q4" i="1"/>
  <c r="S30" i="1" l="1"/>
  <c r="T10" i="1"/>
  <c r="P31" i="1"/>
  <c r="P32" i="1" s="1"/>
  <c r="P227" i="1" s="1"/>
  <c r="O31" i="1"/>
  <c r="J67" i="1"/>
  <c r="N33" i="1"/>
  <c r="N39" i="1"/>
  <c r="N34" i="1"/>
  <c r="R9" i="1"/>
  <c r="R18" i="1" s="1"/>
  <c r="R36" i="1"/>
  <c r="K44" i="1"/>
  <c r="R55" i="1"/>
  <c r="Q54" i="1"/>
  <c r="S5" i="1"/>
  <c r="R4" i="1"/>
  <c r="U10" i="1" l="1"/>
  <c r="T30" i="1"/>
  <c r="N40" i="1"/>
  <c r="S9" i="1"/>
  <c r="S18" i="1" s="1"/>
  <c r="S36" i="1"/>
  <c r="P39" i="1"/>
  <c r="P33" i="1"/>
  <c r="K67" i="1"/>
  <c r="Q27" i="1"/>
  <c r="Q24" i="1"/>
  <c r="Q19" i="1"/>
  <c r="Q21" i="1"/>
  <c r="Q28" i="1"/>
  <c r="Q22" i="1"/>
  <c r="Q25" i="1"/>
  <c r="Q23" i="1"/>
  <c r="O32" i="1"/>
  <c r="O227" i="1" s="1"/>
  <c r="R23" i="1"/>
  <c r="R24" i="1"/>
  <c r="R25" i="1"/>
  <c r="R19" i="1"/>
  <c r="R27" i="1"/>
  <c r="R28" i="1"/>
  <c r="R22" i="1"/>
  <c r="R21" i="1"/>
  <c r="S55" i="1"/>
  <c r="R54" i="1"/>
  <c r="T5" i="1"/>
  <c r="S4" i="1"/>
  <c r="V10" i="1" l="1"/>
  <c r="V30" i="1" s="1"/>
  <c r="U30" i="1"/>
  <c r="P34" i="1"/>
  <c r="Q31" i="1"/>
  <c r="R31" i="1"/>
  <c r="R32" i="1" s="1"/>
  <c r="T9" i="1"/>
  <c r="T18" i="1" s="1"/>
  <c r="T36" i="1"/>
  <c r="O33" i="1"/>
  <c r="O39" i="1"/>
  <c r="O34" i="1"/>
  <c r="P40" i="1"/>
  <c r="P44" i="1" s="1"/>
  <c r="N44" i="1"/>
  <c r="T55" i="1"/>
  <c r="S54" i="1"/>
  <c r="T4" i="1"/>
  <c r="U5" i="1"/>
  <c r="R33" i="1" l="1"/>
  <c r="R39" i="1"/>
  <c r="R40" i="1" s="1"/>
  <c r="R44" i="1" s="1"/>
  <c r="U36" i="1"/>
  <c r="U9" i="1"/>
  <c r="U18" i="1" s="1"/>
  <c r="N67" i="1"/>
  <c r="P67" i="1"/>
  <c r="Q32" i="1"/>
  <c r="S24" i="1"/>
  <c r="S23" i="1"/>
  <c r="S25" i="1"/>
  <c r="S27" i="1"/>
  <c r="S22" i="1"/>
  <c r="S19" i="1"/>
  <c r="S28" i="1"/>
  <c r="S21" i="1"/>
  <c r="O40" i="1"/>
  <c r="T22" i="1"/>
  <c r="T24" i="1"/>
  <c r="T23" i="1"/>
  <c r="T28" i="1"/>
  <c r="T19" i="1"/>
  <c r="T25" i="1"/>
  <c r="T27" i="1"/>
  <c r="T21" i="1"/>
  <c r="U55" i="1"/>
  <c r="T54" i="1"/>
  <c r="U4" i="1"/>
  <c r="V5" i="1"/>
  <c r="V4" i="1" s="1"/>
  <c r="Y22" i="1" s="1"/>
  <c r="Z30" i="1" l="1"/>
  <c r="Z32" i="1"/>
  <c r="AA10" i="1"/>
  <c r="Z25" i="1"/>
  <c r="Y28" i="1"/>
  <c r="Z28" i="1"/>
  <c r="Z18" i="1"/>
  <c r="Z24" i="1"/>
  <c r="Y34" i="1"/>
  <c r="Y41" i="1"/>
  <c r="X39" i="1"/>
  <c r="Y33" i="1"/>
  <c r="Y9" i="1"/>
  <c r="Y31" i="1"/>
  <c r="Z31" i="1"/>
  <c r="Z10" i="1"/>
  <c r="X33" i="1"/>
  <c r="Y27" i="1"/>
  <c r="Y43" i="1"/>
  <c r="AA35" i="1"/>
  <c r="Z15" i="1"/>
  <c r="X35" i="1"/>
  <c r="X20" i="1"/>
  <c r="X15" i="1"/>
  <c r="AA46" i="1"/>
  <c r="AA37" i="1"/>
  <c r="Y16" i="1"/>
  <c r="Z43" i="1"/>
  <c r="Z46" i="1"/>
  <c r="X14" i="1"/>
  <c r="Z16" i="1"/>
  <c r="AA14" i="1"/>
  <c r="Y20" i="1"/>
  <c r="AA15" i="1"/>
  <c r="AA20" i="1"/>
  <c r="Z38" i="1"/>
  <c r="Y46" i="1"/>
  <c r="Z29" i="1"/>
  <c r="X43" i="1"/>
  <c r="Z14" i="1"/>
  <c r="X16" i="1"/>
  <c r="AA43" i="1"/>
  <c r="Z35" i="1"/>
  <c r="X11" i="1"/>
  <c r="Y35" i="1"/>
  <c r="AA38" i="1"/>
  <c r="Y15" i="1"/>
  <c r="X29" i="1"/>
  <c r="AA12" i="1"/>
  <c r="Y14" i="1"/>
  <c r="Y38" i="1"/>
  <c r="AA11" i="1"/>
  <c r="AA26" i="1"/>
  <c r="Y37" i="1"/>
  <c r="X38" i="1"/>
  <c r="Z37" i="1"/>
  <c r="X10" i="1"/>
  <c r="X37" i="1"/>
  <c r="X46" i="1"/>
  <c r="Y12" i="1"/>
  <c r="AA29" i="1"/>
  <c r="AA16" i="1"/>
  <c r="Z42" i="1"/>
  <c r="Y26" i="1"/>
  <c r="Y11" i="1"/>
  <c r="X42" i="1"/>
  <c r="AA42" i="1"/>
  <c r="Z20" i="1"/>
  <c r="Y29" i="1"/>
  <c r="X26" i="1"/>
  <c r="Z11" i="1"/>
  <c r="Y42" i="1"/>
  <c r="Z12" i="1"/>
  <c r="X13" i="1"/>
  <c r="X41" i="1"/>
  <c r="X12" i="1"/>
  <c r="Y13" i="1"/>
  <c r="Z26" i="1"/>
  <c r="X36" i="1"/>
  <c r="X25" i="1"/>
  <c r="X9" i="1"/>
  <c r="X31" i="1"/>
  <c r="Y10" i="1"/>
  <c r="X17" i="1"/>
  <c r="X22" i="1"/>
  <c r="X21" i="1"/>
  <c r="X23" i="1"/>
  <c r="X18" i="1"/>
  <c r="X28" i="1"/>
  <c r="X24" i="1"/>
  <c r="X27" i="1"/>
  <c r="Y17" i="1"/>
  <c r="X32" i="1"/>
  <c r="X30" i="1"/>
  <c r="Y24" i="1"/>
  <c r="Y25" i="1"/>
  <c r="Y36" i="1"/>
  <c r="X34" i="1"/>
  <c r="X40" i="1"/>
  <c r="Y18" i="1"/>
  <c r="Z27" i="1"/>
  <c r="AA13" i="1"/>
  <c r="Y32" i="1"/>
  <c r="X44" i="1"/>
  <c r="Z9" i="1"/>
  <c r="Y39" i="1"/>
  <c r="Z13" i="1"/>
  <c r="Y23" i="1"/>
  <c r="Z17" i="1"/>
  <c r="Z23" i="1"/>
  <c r="Y21" i="1"/>
  <c r="Y44" i="1"/>
  <c r="Z22" i="1"/>
  <c r="Z21" i="1"/>
  <c r="Y40" i="1"/>
  <c r="Y30" i="1"/>
  <c r="O44" i="1"/>
  <c r="T31" i="1"/>
  <c r="T32" i="1" s="1"/>
  <c r="S31" i="1"/>
  <c r="R34" i="1"/>
  <c r="R67" i="1"/>
  <c r="V9" i="1"/>
  <c r="V18" i="1" s="1"/>
  <c r="V36" i="1"/>
  <c r="Z36" i="1" s="1"/>
  <c r="Z41" i="1"/>
  <c r="Q39" i="1"/>
  <c r="Z39" i="1" s="1"/>
  <c r="Q33" i="1"/>
  <c r="Z33" i="1" s="1"/>
  <c r="Q34" i="1"/>
  <c r="V55" i="1"/>
  <c r="V54" i="1" s="1"/>
  <c r="U54" i="1"/>
  <c r="O67" i="1" l="1"/>
  <c r="H220" i="1"/>
  <c r="H218" i="1" s="1"/>
  <c r="Y50" i="1"/>
  <c r="Y52" i="1" s="1"/>
  <c r="I220" i="1"/>
  <c r="I212" i="1" s="1"/>
  <c r="Z50" i="1"/>
  <c r="Z52" i="1" s="1"/>
  <c r="G220" i="1"/>
  <c r="G218" i="1" s="1"/>
  <c r="X50" i="1"/>
  <c r="X52" i="1" s="1"/>
  <c r="AA41" i="1"/>
  <c r="Z34" i="1"/>
  <c r="AA30" i="1"/>
  <c r="AA17" i="1"/>
  <c r="AA36" i="1"/>
  <c r="AA9" i="1"/>
  <c r="U21" i="1"/>
  <c r="U22" i="1"/>
  <c r="U28" i="1"/>
  <c r="U27" i="1"/>
  <c r="U24" i="1"/>
  <c r="U19" i="1"/>
  <c r="U23" i="1"/>
  <c r="U25" i="1"/>
  <c r="V23" i="1"/>
  <c r="V24" i="1"/>
  <c r="V28" i="1"/>
  <c r="V22" i="1"/>
  <c r="V21" i="1"/>
  <c r="V19" i="1"/>
  <c r="V27" i="1"/>
  <c r="V25" i="1"/>
  <c r="T33" i="1"/>
  <c r="T39" i="1"/>
  <c r="T40" i="1" s="1"/>
  <c r="T44" i="1" s="1"/>
  <c r="Q40" i="1"/>
  <c r="Z40" i="1" s="1"/>
  <c r="S32" i="1"/>
  <c r="H200" i="1" l="1"/>
  <c r="H212" i="1"/>
  <c r="H203" i="1"/>
  <c r="H205" i="1"/>
  <c r="H210" i="1"/>
  <c r="H202" i="1"/>
  <c r="H204" i="1"/>
  <c r="H206" i="1"/>
  <c r="I211" i="1"/>
  <c r="H211" i="1"/>
  <c r="G203" i="1"/>
  <c r="I204" i="1"/>
  <c r="I202" i="1"/>
  <c r="I203" i="1"/>
  <c r="G205" i="1"/>
  <c r="G202" i="1"/>
  <c r="G206" i="1"/>
  <c r="G211" i="1"/>
  <c r="I206" i="1"/>
  <c r="I205" i="1"/>
  <c r="G204" i="1"/>
  <c r="G200" i="1"/>
  <c r="G210" i="1"/>
  <c r="I210" i="1"/>
  <c r="G212" i="1"/>
  <c r="I200" i="1"/>
  <c r="AA18" i="1"/>
  <c r="AA25" i="1"/>
  <c r="AA23" i="1"/>
  <c r="AA24" i="1"/>
  <c r="AA28" i="1"/>
  <c r="T34" i="1"/>
  <c r="AA22" i="1"/>
  <c r="AA27" i="1"/>
  <c r="AA21" i="1"/>
  <c r="U31" i="1"/>
  <c r="V31" i="1"/>
  <c r="V32" i="1" s="1"/>
  <c r="T67" i="1"/>
  <c r="S33" i="1"/>
  <c r="S34" i="1"/>
  <c r="S39" i="1"/>
  <c r="Q44" i="1"/>
  <c r="Z44" i="1" l="1"/>
  <c r="AA31" i="1"/>
  <c r="U32" i="1"/>
  <c r="AA32" i="1" s="1"/>
  <c r="Q67" i="1"/>
  <c r="S40" i="1"/>
  <c r="V33" i="1"/>
  <c r="V39" i="1"/>
  <c r="V40" i="1" s="1"/>
  <c r="V44" i="1" s="1"/>
  <c r="J220" i="1" l="1"/>
  <c r="J212" i="1" s="1"/>
  <c r="AA50" i="1"/>
  <c r="AA52" i="1" s="1"/>
  <c r="S44" i="1"/>
  <c r="V67" i="1"/>
  <c r="V34" i="1"/>
  <c r="U33" i="1"/>
  <c r="AA33" i="1" s="1"/>
  <c r="U34" i="1"/>
  <c r="U39" i="1"/>
  <c r="AA39" i="1" s="1"/>
  <c r="J204" i="1" l="1"/>
  <c r="J205" i="1"/>
  <c r="J202" i="1"/>
  <c r="S67" i="1"/>
  <c r="J206" i="1"/>
  <c r="J200" i="1"/>
  <c r="J211" i="1"/>
  <c r="J210" i="1"/>
  <c r="J203" i="1"/>
  <c r="AA34" i="1"/>
  <c r="U40" i="1"/>
  <c r="AA40" i="1" s="1"/>
  <c r="U44" i="1" l="1"/>
  <c r="AA44" i="1" l="1"/>
  <c r="U67" i="1"/>
  <c r="AE7" i="1" l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X45" i="1"/>
  <c r="Y45" i="1"/>
  <c r="Z45" i="1"/>
  <c r="AA45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X53" i="1"/>
  <c r="Y53" i="1"/>
  <c r="Z53" i="1"/>
  <c r="AA53" i="1"/>
  <c r="X54" i="1"/>
  <c r="Y54" i="1"/>
  <c r="Z54" i="1"/>
  <c r="AA54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X56" i="1"/>
  <c r="Y56" i="1"/>
  <c r="Z56" i="1"/>
  <c r="AA56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J60" i="1"/>
  <c r="N60" i="1"/>
  <c r="R60" i="1"/>
  <c r="V60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AE84" i="1"/>
  <c r="AE85" i="1"/>
  <c r="AE86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G215" i="1"/>
  <c r="H215" i="1"/>
  <c r="I215" i="1"/>
  <c r="J215" i="1"/>
  <c r="I218" i="1"/>
  <c r="J218" i="1"/>
  <c r="Y222" i="1"/>
  <c r="AC222" i="1"/>
  <c r="Y224" i="1"/>
  <c r="AC225" i="1"/>
  <c r="Y227" i="1"/>
  <c r="AC22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<sst xmlns="http://schemas.openxmlformats.org/spreadsheetml/2006/main" count="347" uniqueCount="144">
  <si>
    <t>x</t>
  </si>
  <si>
    <t>Tranche</t>
  </si>
  <si>
    <t>Interest Rate</t>
  </si>
  <si>
    <t>Total</t>
  </si>
  <si>
    <t>Maturity</t>
  </si>
  <si>
    <t>x '23 EBITDA</t>
  </si>
  <si>
    <t>x '21 EBITDA</t>
  </si>
  <si>
    <t>x '22 EBITDA</t>
  </si>
  <si>
    <t>Revolver</t>
  </si>
  <si>
    <t>Secured:</t>
  </si>
  <si>
    <t>Senior Secured</t>
  </si>
  <si>
    <t>Term Loan</t>
  </si>
  <si>
    <t>Convertible Senior</t>
  </si>
  <si>
    <t>Secondary Primary Secured</t>
  </si>
  <si>
    <t>Unsecured:</t>
  </si>
  <si>
    <t>Export Credit Facility</t>
  </si>
  <si>
    <t>Bank Loan</t>
  </si>
  <si>
    <t>Publicly Traded Notes</t>
  </si>
  <si>
    <t>Total Unsecured Debt</t>
  </si>
  <si>
    <t>Total Secured Debt</t>
  </si>
  <si>
    <t>Total Debt</t>
  </si>
  <si>
    <t>Total Equity</t>
  </si>
  <si>
    <t>Debt Service</t>
  </si>
  <si>
    <t>Capitalization Table</t>
  </si>
  <si>
    <t>Financials</t>
  </si>
  <si>
    <t>Year</t>
  </si>
  <si>
    <t>Revenue:</t>
  </si>
  <si>
    <t>Passenger Ticket</t>
  </si>
  <si>
    <t>Onboard and Other</t>
  </si>
  <si>
    <t>Total Revenue:</t>
  </si>
  <si>
    <t>Operating Expenses:</t>
  </si>
  <si>
    <t>Commissions</t>
  </si>
  <si>
    <t>Payroll</t>
  </si>
  <si>
    <t>Fuel</t>
  </si>
  <si>
    <t>Food</t>
  </si>
  <si>
    <t>Ship and Other</t>
  </si>
  <si>
    <t>Other Operating</t>
  </si>
  <si>
    <t>Lease Expense</t>
  </si>
  <si>
    <t>EBITDA</t>
  </si>
  <si>
    <t>Growth %</t>
  </si>
  <si>
    <t>Margin  %</t>
  </si>
  <si>
    <t>Cash Flow</t>
  </si>
  <si>
    <t>D&amp;A</t>
  </si>
  <si>
    <t>Unlevered Taxes</t>
  </si>
  <si>
    <t>Maintenance Capex</t>
  </si>
  <si>
    <t>Growth Capex</t>
  </si>
  <si>
    <t>NWC</t>
  </si>
  <si>
    <t>UFCF</t>
  </si>
  <si>
    <t>ALBDs</t>
  </si>
  <si>
    <t>Ship Count</t>
  </si>
  <si>
    <t>ABLDs Per Ship</t>
  </si>
  <si>
    <t>Occupancy</t>
  </si>
  <si>
    <t>Gross Revenue Yield</t>
  </si>
  <si>
    <t>SG&amp;A</t>
  </si>
  <si>
    <t>Assumptions Table</t>
  </si>
  <si>
    <t>Case</t>
  </si>
  <si>
    <t>Item</t>
  </si>
  <si>
    <t>Base</t>
  </si>
  <si>
    <t>ALBD / Ship</t>
  </si>
  <si>
    <t>Ships</t>
  </si>
  <si>
    <t>Revenue Beg</t>
  </si>
  <si>
    <t>Q4 Occupancy</t>
  </si>
  <si>
    <t>Q1 Occupancy</t>
  </si>
  <si>
    <t>Q2 Occupancy</t>
  </si>
  <si>
    <t>Q3 Occupancy</t>
  </si>
  <si>
    <t>Run Rate Payroll No Rev</t>
  </si>
  <si>
    <t>Payroll Per Ship</t>
  </si>
  <si>
    <t>Ships Now</t>
  </si>
  <si>
    <t>Run Rate Fuel No Rev</t>
  </si>
  <si>
    <t>Fuel Per Ship</t>
  </si>
  <si>
    <t>Run Rate Food No Rev</t>
  </si>
  <si>
    <t>Shipping and Other</t>
  </si>
  <si>
    <t>Food Per Ship</t>
  </si>
  <si>
    <t>Operating Per Ship</t>
  </si>
  <si>
    <t>Run Rate SG&amp;A No Rev</t>
  </si>
  <si>
    <t>SG&amp;A per Ship</t>
  </si>
  <si>
    <t>D&amp;A Per Ship</t>
  </si>
  <si>
    <t>Taxes</t>
  </si>
  <si>
    <t>Sale Leaseback</t>
  </si>
  <si>
    <t>Sale Leaseback Value</t>
  </si>
  <si>
    <t>Realization on Value</t>
  </si>
  <si>
    <t>Lease Rate</t>
  </si>
  <si>
    <t>(-) Amort.</t>
  </si>
  <si>
    <t>(-) Tax Adjusted Interest Expense</t>
  </si>
  <si>
    <t>LFCF</t>
  </si>
  <si>
    <t>Debt Schedule</t>
  </si>
  <si>
    <t xml:space="preserve">Cash </t>
  </si>
  <si>
    <t>Beginning Cash Balance</t>
  </si>
  <si>
    <t>(+) Sale Leaseback</t>
  </si>
  <si>
    <t>(-/+) (Expense Outflow) / Income Inflow</t>
  </si>
  <si>
    <t>(-) Optional Paydown</t>
  </si>
  <si>
    <t>(+) Issuance</t>
  </si>
  <si>
    <t>Ending Cash Balance</t>
  </si>
  <si>
    <t>Cash Interest</t>
  </si>
  <si>
    <t>PIK Interest</t>
  </si>
  <si>
    <t>Total Interest</t>
  </si>
  <si>
    <t>Amount</t>
  </si>
  <si>
    <t>-</t>
  </si>
  <si>
    <t>Operating</t>
  </si>
  <si>
    <t>Secondary Prim</t>
  </si>
  <si>
    <t>PIK %</t>
  </si>
  <si>
    <t>Sec. Prim</t>
  </si>
  <si>
    <t>Senior Sec</t>
  </si>
  <si>
    <t>Conv</t>
  </si>
  <si>
    <t>Export</t>
  </si>
  <si>
    <t>Publicly Traded</t>
  </si>
  <si>
    <t xml:space="preserve">New </t>
  </si>
  <si>
    <t>Issuance</t>
  </si>
  <si>
    <t>Beginning</t>
  </si>
  <si>
    <t>(+) PIK</t>
  </si>
  <si>
    <t>Ending</t>
  </si>
  <si>
    <t>Avg. Balance</t>
  </si>
  <si>
    <t>Interest Expense</t>
  </si>
  <si>
    <t>PIK</t>
  </si>
  <si>
    <t>Secondary Primary</t>
  </si>
  <si>
    <t>New Issuance</t>
  </si>
  <si>
    <t>Scrap Old Ships</t>
  </si>
  <si>
    <t>(+) Scrap Old Ships</t>
  </si>
  <si>
    <t>Health Investment</t>
  </si>
  <si>
    <t>Step</t>
  </si>
  <si>
    <t>Health Investment Per Ship</t>
  </si>
  <si>
    <t>x '24 EBITDA</t>
  </si>
  <si>
    <t>Exit Multiple Normalized</t>
  </si>
  <si>
    <t>Share Price</t>
  </si>
  <si>
    <t>Multiple</t>
  </si>
  <si>
    <t>(-) Net Debt</t>
  </si>
  <si>
    <t>Market Cap</t>
  </si>
  <si>
    <t>S/O</t>
  </si>
  <si>
    <t>Price</t>
  </si>
  <si>
    <t>Net Debt</t>
  </si>
  <si>
    <t>Less Refunds</t>
  </si>
  <si>
    <t>(-) Cash Interest Expense</t>
  </si>
  <si>
    <t>Total Liquidity</t>
  </si>
  <si>
    <t>Cash Burn Rate</t>
  </si>
  <si>
    <t>Run Rate Operating Expenses</t>
  </si>
  <si>
    <t>Cash Burn Per Quarter</t>
  </si>
  <si>
    <t>Cash Runway in Quarters</t>
  </si>
  <si>
    <t>Capacity</t>
  </si>
  <si>
    <t>Enterprise Value</t>
  </si>
  <si>
    <t>No Sale-leaseback + Scrap Sale</t>
  </si>
  <si>
    <t>Sale-leaseback + Scrap Sale</t>
  </si>
  <si>
    <t>Price Escalator</t>
  </si>
  <si>
    <t>Total Expenses</t>
  </si>
  <si>
    <t>Run Rate Operating No 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</si>
</sst>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_(* #,##0.0_);_(* \(#,##0.0\);_(* &quot;-&quot;?_);_(@_)"/>
    <numFmt numFmtId="168" formatCode="0.0\x"/>
    <numFmt numFmtId="169" formatCode="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 val="singleAccounting"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1C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left" indent="1"/>
    </xf>
    <xf numFmtId="0" fontId="0" fillId="0" borderId="1" xfId="0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Alignment="1">
      <alignment horizontal="left"/>
    </xf>
    <xf numFmtId="0" fontId="0" fillId="0" borderId="2" xfId="0" applyBorder="1"/>
    <xf numFmtId="9" fontId="0" fillId="0" borderId="0" xfId="0" applyNumberFormat="1"/>
    <xf numFmtId="10" fontId="0" fillId="0" borderId="0" xfId="0" applyNumberFormat="1"/>
    <xf numFmtId="164" fontId="0" fillId="0" borderId="0" xfId="1" applyNumberFormat="1" applyFont="1"/>
    <xf numFmtId="165" fontId="0" fillId="0" borderId="0" xfId="1" applyNumberFormat="1" applyFont="1"/>
    <xf numFmtId="165" fontId="4" fillId="0" borderId="1" xfId="1" applyNumberFormat="1" applyFont="1" applyBorder="1"/>
    <xf numFmtId="14" fontId="0" fillId="0" borderId="0" xfId="0" applyNumberFormat="1"/>
    <xf numFmtId="14" fontId="3" fillId="0" borderId="0" xfId="0" applyNumberFormat="1" applyFont="1" applyAlignment="1">
      <alignment horizontal="center"/>
    </xf>
    <xf numFmtId="0" fontId="0" fillId="0" borderId="3" xfId="0" applyBorder="1"/>
    <xf numFmtId="0" fontId="4" fillId="0" borderId="3" xfId="0" applyFont="1" applyBorder="1"/>
    <xf numFmtId="0" fontId="5" fillId="0" borderId="0" xfId="0" applyFont="1"/>
    <xf numFmtId="0" fontId="6" fillId="0" borderId="0" xfId="0" applyFont="1" applyAlignment="1">
      <alignment horizontal="left" indent="1"/>
    </xf>
    <xf numFmtId="165" fontId="4" fillId="0" borderId="2" xfId="0" applyNumberFormat="1" applyFont="1" applyBorder="1"/>
    <xf numFmtId="165" fontId="5" fillId="0" borderId="0" xfId="1" applyNumberFormat="1" applyFont="1"/>
    <xf numFmtId="165" fontId="0" fillId="0" borderId="0" xfId="0" applyNumberFormat="1"/>
    <xf numFmtId="166" fontId="0" fillId="0" borderId="0" xfId="2" applyNumberFormat="1" applyFont="1"/>
    <xf numFmtId="9" fontId="5" fillId="0" borderId="0" xfId="0" applyNumberFormat="1" applyFont="1"/>
    <xf numFmtId="10" fontId="5" fillId="0" borderId="0" xfId="0" applyNumberFormat="1" applyFont="1"/>
    <xf numFmtId="165" fontId="4" fillId="0" borderId="3" xfId="0" applyNumberFormat="1" applyFont="1" applyBorder="1"/>
    <xf numFmtId="0" fontId="0" fillId="0" borderId="5" xfId="0" applyBorder="1"/>
    <xf numFmtId="9" fontId="0" fillId="0" borderId="2" xfId="0" applyNumberFormat="1" applyBorder="1"/>
    <xf numFmtId="9" fontId="0" fillId="0" borderId="1" xfId="0" applyNumberFormat="1" applyBorder="1"/>
    <xf numFmtId="9" fontId="0" fillId="0" borderId="0" xfId="2" applyFont="1"/>
    <xf numFmtId="9" fontId="0" fillId="0" borderId="1" xfId="2" applyFont="1" applyBorder="1"/>
    <xf numFmtId="9" fontId="0" fillId="0" borderId="2" xfId="2" applyFont="1" applyBorder="1"/>
    <xf numFmtId="9" fontId="0" fillId="0" borderId="3" xfId="2" applyFont="1" applyBorder="1"/>
    <xf numFmtId="165" fontId="0" fillId="0" borderId="0" xfId="1" applyNumberFormat="1" applyFont="1" applyFill="1" applyBorder="1"/>
    <xf numFmtId="164" fontId="0" fillId="0" borderId="0" xfId="0" applyNumberFormat="1"/>
    <xf numFmtId="167" fontId="0" fillId="0" borderId="0" xfId="0" applyNumberFormat="1"/>
    <xf numFmtId="166" fontId="0" fillId="0" borderId="0" xfId="2" applyNumberFormat="1" applyFont="1" applyAlignment="1">
      <alignment horizontal="right"/>
    </xf>
    <xf numFmtId="165" fontId="0" fillId="0" borderId="0" xfId="1" applyNumberFormat="1" applyFont="1" applyAlignment="1">
      <alignment horizontal="left" indent="1"/>
    </xf>
    <xf numFmtId="165" fontId="4" fillId="0" borderId="0" xfId="1" applyNumberFormat="1" applyFont="1"/>
    <xf numFmtId="165" fontId="4" fillId="0" borderId="1" xfId="1" applyNumberFormat="1" applyFont="1" applyBorder="1" applyAlignment="1">
      <alignment horizontal="left"/>
    </xf>
    <xf numFmtId="165" fontId="4" fillId="0" borderId="0" xfId="1" applyNumberFormat="1" applyFont="1" applyAlignment="1">
      <alignment horizontal="left"/>
    </xf>
    <xf numFmtId="0" fontId="0" fillId="0" borderId="0" xfId="0" applyAlignment="1">
      <alignment horizontal="right"/>
    </xf>
    <xf numFmtId="164" fontId="0" fillId="0" borderId="1" xfId="1" applyNumberFormat="1" applyFont="1" applyBorder="1"/>
    <xf numFmtId="9" fontId="7" fillId="0" borderId="0" xfId="0" applyNumberFormat="1" applyFont="1"/>
    <xf numFmtId="164" fontId="4" fillId="0" borderId="1" xfId="0" applyNumberFormat="1" applyFont="1" applyBorder="1"/>
    <xf numFmtId="165" fontId="4" fillId="0" borderId="1" xfId="0" applyNumberFormat="1" applyFont="1" applyBorder="1"/>
    <xf numFmtId="165" fontId="4" fillId="0" borderId="0" xfId="1" applyNumberFormat="1" applyFont="1" applyBorder="1"/>
    <xf numFmtId="165" fontId="0" fillId="0" borderId="0" xfId="1" applyNumberFormat="1" applyFont="1" applyBorder="1"/>
    <xf numFmtId="165" fontId="4" fillId="0" borderId="0" xfId="0" applyNumberFormat="1" applyFont="1"/>
    <xf numFmtId="164" fontId="0" fillId="0" borderId="0" xfId="1" applyNumberFormat="1" applyFont="1" applyBorder="1"/>
    <xf numFmtId="0" fontId="8" fillId="0" borderId="0" xfId="0" applyFont="1"/>
    <xf numFmtId="0" fontId="9" fillId="0" borderId="1" xfId="0" applyFont="1" applyBorder="1"/>
    <xf numFmtId="167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4" fillId="3" borderId="2" xfId="0" applyFont="1" applyFill="1" applyBorder="1"/>
    <xf numFmtId="0" fontId="4" fillId="4" borderId="2" xfId="0" applyFont="1" applyFill="1" applyBorder="1"/>
    <xf numFmtId="165" fontId="4" fillId="4" borderId="2" xfId="1" applyNumberFormat="1" applyFont="1" applyFill="1" applyBorder="1"/>
    <xf numFmtId="0" fontId="2" fillId="0" borderId="0" xfId="0" applyFont="1"/>
    <xf numFmtId="0" fontId="10" fillId="0" borderId="3" xfId="0" applyFont="1" applyBorder="1"/>
    <xf numFmtId="0" fontId="2" fillId="0" borderId="3" xfId="0" applyFont="1" applyBorder="1"/>
    <xf numFmtId="165" fontId="4" fillId="4" borderId="2" xfId="0" applyNumberFormat="1" applyFont="1" applyFill="1" applyBorder="1"/>
    <xf numFmtId="165" fontId="4" fillId="3" borderId="2" xfId="0" applyNumberFormat="1" applyFont="1" applyFill="1" applyBorder="1"/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center"/>
    </xf>
    <xf numFmtId="0" fontId="4" fillId="4" borderId="2" xfId="0" applyFont="1" applyFill="1" applyBorder="1" applyAlignment="1">
      <alignment horizontal="right"/>
    </xf>
    <xf numFmtId="165" fontId="4" fillId="4" borderId="2" xfId="1" applyNumberFormat="1" applyFont="1" applyFill="1" applyBorder="1" applyAlignment="1">
      <alignment horizontal="right"/>
    </xf>
    <xf numFmtId="0" fontId="4" fillId="4" borderId="1" xfId="0" applyFont="1" applyFill="1" applyBorder="1"/>
    <xf numFmtId="165" fontId="4" fillId="4" borderId="1" xfId="1" applyNumberFormat="1" applyFont="1" applyFill="1" applyBorder="1"/>
    <xf numFmtId="0" fontId="4" fillId="4" borderId="4" xfId="0" applyFont="1" applyFill="1" applyBorder="1"/>
    <xf numFmtId="165" fontId="4" fillId="4" borderId="4" xfId="0" applyNumberFormat="1" applyFont="1" applyFill="1" applyBorder="1"/>
    <xf numFmtId="165" fontId="0" fillId="4" borderId="2" xfId="0" applyNumberFormat="1" applyFill="1" applyBorder="1"/>
    <xf numFmtId="165" fontId="0" fillId="4" borderId="2" xfId="0" applyNumberFormat="1" applyFill="1" applyBorder="1" applyAlignment="1">
      <alignment horizontal="right"/>
    </xf>
    <xf numFmtId="169" fontId="11" fillId="2" borderId="0" xfId="0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1C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B6E303E3-0119-4FFE-87CA-69CBDCD04C36}">
          <cx:dataLabels pos="outEnd">
            <cx:visibility seriesName="0" categoryName="0" value="1"/>
          </cx:dataLabels>
          <cx:dataId val="0"/>
          <cx:layoutPr>
            <cx:subtotals>
              <cx:idx val="3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/>
            </a:pPr>
            <a:endParaRPr lang="en-US" sz="9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148167</xdr:colOff>
      <xdr:row>228</xdr:row>
      <xdr:rowOff>82216</xdr:rowOff>
    </xdr:from>
    <xdr:to>
      <xdr:col>29</xdr:col>
      <xdr:colOff>1347983</xdr:colOff>
      <xdr:row>253</xdr:row>
      <xdr:rowOff>100262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3A950E1-F81C-430E-CE4D-7165028F63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823517" y="42170016"/>
              <a:ext cx="8464216" cy="462179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7"/>
  <sheetViews>
    <sheetView showGridLines="0" tabSelected="1" topLeftCell="Q1" zoomScale="57" workbookViewId="0">
      <selection activeCell="W52" sqref="W52"/>
    </sheetView>
  </sheetViews>
  <sheetFormatPr defaultColWidth="12.6328125" defaultRowHeight="14.5" x14ac:dyDescent="0.35"/>
  <cols>
    <col min="1" max="1" width="1.6328125" customWidth="1"/>
    <col min="2" max="2" width="25.6328125" customWidth="1"/>
    <col min="3" max="5" width="12.6328125" customWidth="1"/>
    <col min="23" max="23" width="15.54296875" bestFit="1" customWidth="1"/>
    <col min="30" max="30" width="25.6328125" customWidth="1"/>
  </cols>
  <sheetData>
    <row r="1" spans="1:33" x14ac:dyDescent="0.35">
      <c r="AD1" t="s">
        <v>67</v>
      </c>
      <c r="AF1">
        <v>104</v>
      </c>
    </row>
    <row r="3" spans="1:33" x14ac:dyDescent="0.35">
      <c r="A3" t="s">
        <v>0</v>
      </c>
      <c r="B3" s="1" t="s">
        <v>24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D3" s="1" t="s">
        <v>54</v>
      </c>
      <c r="AE3" s="1"/>
      <c r="AF3" s="1"/>
      <c r="AG3" s="1"/>
    </row>
    <row r="4" spans="1:33" x14ac:dyDescent="0.35">
      <c r="F4" s="2">
        <f t="shared" ref="F4:R4" si="0">YEAR(F5)</f>
        <v>2020</v>
      </c>
      <c r="G4" s="2">
        <f t="shared" si="0"/>
        <v>2021</v>
      </c>
      <c r="H4" s="2">
        <f t="shared" si="0"/>
        <v>2021</v>
      </c>
      <c r="I4" s="2">
        <f t="shared" si="0"/>
        <v>2021</v>
      </c>
      <c r="J4" s="2">
        <f t="shared" si="0"/>
        <v>2021</v>
      </c>
      <c r="K4" s="2">
        <f t="shared" si="0"/>
        <v>2022</v>
      </c>
      <c r="L4" s="2">
        <f t="shared" si="0"/>
        <v>2022</v>
      </c>
      <c r="M4" s="2">
        <f t="shared" si="0"/>
        <v>2022</v>
      </c>
      <c r="N4" s="2">
        <f t="shared" si="0"/>
        <v>2022</v>
      </c>
      <c r="O4" s="2">
        <f t="shared" si="0"/>
        <v>2023</v>
      </c>
      <c r="P4" s="2">
        <f t="shared" si="0"/>
        <v>2023</v>
      </c>
      <c r="Q4" s="2">
        <f t="shared" si="0"/>
        <v>2023</v>
      </c>
      <c r="R4" s="2">
        <f t="shared" si="0"/>
        <v>2023</v>
      </c>
      <c r="S4" s="2">
        <f t="shared" ref="S4" si="1">YEAR(S5)</f>
        <v>2024</v>
      </c>
      <c r="T4" s="2">
        <f t="shared" ref="T4" si="2">YEAR(T5)</f>
        <v>2024</v>
      </c>
      <c r="U4" s="2">
        <f t="shared" ref="U4" si="3">YEAR(U5)</f>
        <v>2024</v>
      </c>
      <c r="V4" s="2">
        <f t="shared" ref="V4" si="4">YEAR(V5)</f>
        <v>2024</v>
      </c>
      <c r="W4" s="2"/>
      <c r="X4" s="2">
        <v>2021</v>
      </c>
      <c r="Y4" s="2">
        <v>2022</v>
      </c>
      <c r="Z4" s="2">
        <v>2023</v>
      </c>
      <c r="AA4" s="2">
        <v>2024</v>
      </c>
    </row>
    <row r="5" spans="1:33" ht="16" x14ac:dyDescent="0.5">
      <c r="B5" s="65" t="s">
        <v>25</v>
      </c>
      <c r="C5" s="66">
        <f t="shared" ref="C5" si="5">D5-365/4</f>
        <v>43891.5</v>
      </c>
      <c r="D5" s="66">
        <f>E5-365/4</f>
        <v>43982.75</v>
      </c>
      <c r="E5" s="66">
        <v>44074</v>
      </c>
      <c r="F5" s="66">
        <f>E5+365/4</f>
        <v>44165.25</v>
      </c>
      <c r="G5" s="66">
        <f t="shared" ref="G5:R5" si="6">F5+365/4</f>
        <v>44256.5</v>
      </c>
      <c r="H5" s="66">
        <f t="shared" si="6"/>
        <v>44347.75</v>
      </c>
      <c r="I5" s="66">
        <f t="shared" si="6"/>
        <v>44439</v>
      </c>
      <c r="J5" s="66">
        <f t="shared" si="6"/>
        <v>44530.25</v>
      </c>
      <c r="K5" s="66">
        <f t="shared" si="6"/>
        <v>44621.5</v>
      </c>
      <c r="L5" s="66">
        <f t="shared" si="6"/>
        <v>44712.75</v>
      </c>
      <c r="M5" s="66">
        <f t="shared" si="6"/>
        <v>44804</v>
      </c>
      <c r="N5" s="66">
        <f t="shared" si="6"/>
        <v>44895.25</v>
      </c>
      <c r="O5" s="66">
        <f t="shared" si="6"/>
        <v>44986.5</v>
      </c>
      <c r="P5" s="66">
        <f t="shared" si="6"/>
        <v>45077.75</v>
      </c>
      <c r="Q5" s="66">
        <f t="shared" si="6"/>
        <v>45169</v>
      </c>
      <c r="R5" s="66">
        <f t="shared" si="6"/>
        <v>45260.25</v>
      </c>
      <c r="S5" s="66">
        <f t="shared" ref="S5:V5" si="7">R5+365/4</f>
        <v>45351.5</v>
      </c>
      <c r="T5" s="66">
        <f t="shared" si="7"/>
        <v>45442.75</v>
      </c>
      <c r="U5" s="66">
        <f t="shared" si="7"/>
        <v>45534</v>
      </c>
      <c r="V5" s="66">
        <f t="shared" si="7"/>
        <v>45625.25</v>
      </c>
      <c r="W5" s="17"/>
      <c r="X5" s="17"/>
      <c r="Y5" s="17"/>
      <c r="Z5" s="17"/>
      <c r="AE5" t="s">
        <v>55</v>
      </c>
    </row>
    <row r="6" spans="1:33" x14ac:dyDescent="0.35">
      <c r="AE6" s="29">
        <v>1</v>
      </c>
    </row>
    <row r="7" spans="1:33" x14ac:dyDescent="0.35">
      <c r="A7" t="s">
        <v>0</v>
      </c>
      <c r="B7" s="19" t="s">
        <v>26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4"/>
      <c r="X7" s="4"/>
      <c r="Y7" s="4"/>
      <c r="Z7" s="4"/>
      <c r="AD7" s="19" t="s">
        <v>56</v>
      </c>
      <c r="AE7" s="19" t="str">
        <f ca="1">OFFSET(AE7,,$AE$6)</f>
        <v>Base</v>
      </c>
      <c r="AF7" s="19" t="s">
        <v>57</v>
      </c>
      <c r="AG7" s="18"/>
    </row>
    <row r="8" spans="1:33" x14ac:dyDescent="0.35">
      <c r="AD8" t="s">
        <v>58</v>
      </c>
      <c r="AE8">
        <f t="shared" ref="AE8:AE174" ca="1" si="8">OFFSET(AE8,,$AE$6)</f>
        <v>200000</v>
      </c>
      <c r="AF8">
        <v>200000</v>
      </c>
    </row>
    <row r="9" spans="1:33" x14ac:dyDescent="0.35">
      <c r="B9" t="s">
        <v>48</v>
      </c>
      <c r="C9" s="20">
        <v>21977</v>
      </c>
      <c r="D9" s="20">
        <v>3621</v>
      </c>
      <c r="E9" s="20">
        <v>0</v>
      </c>
      <c r="F9" s="14">
        <f ca="1">F11/10^3*F10*F12</f>
        <v>0</v>
      </c>
      <c r="G9" s="14">
        <f t="shared" ref="G9:V9" ca="1" si="9">G11/10^3*G10*G12</f>
        <v>0</v>
      </c>
      <c r="H9" s="14">
        <f t="shared" ca="1" si="9"/>
        <v>1000</v>
      </c>
      <c r="I9" s="14">
        <f t="shared" ca="1" si="9"/>
        <v>1800</v>
      </c>
      <c r="J9" s="14">
        <f t="shared" ca="1" si="9"/>
        <v>3200</v>
      </c>
      <c r="K9" s="14">
        <f t="shared" ca="1" si="9"/>
        <v>5000</v>
      </c>
      <c r="L9" s="14">
        <f t="shared" ca="1" si="9"/>
        <v>8400</v>
      </c>
      <c r="M9" s="14">
        <f t="shared" ca="1" si="9"/>
        <v>11200</v>
      </c>
      <c r="N9" s="14">
        <f t="shared" ca="1" si="9"/>
        <v>14400</v>
      </c>
      <c r="O9" s="14">
        <f t="shared" ca="1" si="9"/>
        <v>18000</v>
      </c>
      <c r="P9" s="14">
        <f t="shared" ca="1" si="9"/>
        <v>20000</v>
      </c>
      <c r="Q9" s="14">
        <f t="shared" ca="1" si="9"/>
        <v>20800</v>
      </c>
      <c r="R9" s="14">
        <f t="shared" ca="1" si="9"/>
        <v>20800</v>
      </c>
      <c r="S9" s="14">
        <f t="shared" ca="1" si="9"/>
        <v>20800</v>
      </c>
      <c r="T9" s="14">
        <f t="shared" ca="1" si="9"/>
        <v>20800</v>
      </c>
      <c r="U9" s="14">
        <f t="shared" ca="1" si="9"/>
        <v>20800</v>
      </c>
      <c r="V9" s="14">
        <f t="shared" ca="1" si="9"/>
        <v>20800</v>
      </c>
      <c r="W9" s="14"/>
      <c r="X9" s="14">
        <f ca="1">SUMIF($F$4:$V$4,X$4,$F9:$V9)</f>
        <v>6000</v>
      </c>
      <c r="Y9" s="14">
        <f t="shared" ref="Y9:AA24" ca="1" si="10">SUMIF($F$4:$V$4,Y$4,$F9:$V9)</f>
        <v>39000</v>
      </c>
      <c r="Z9" s="14">
        <f t="shared" ca="1" si="10"/>
        <v>79600</v>
      </c>
      <c r="AA9" s="14">
        <f t="shared" ca="1" si="10"/>
        <v>83200</v>
      </c>
      <c r="AD9" t="s">
        <v>59</v>
      </c>
      <c r="AE9">
        <f t="shared" ca="1" si="8"/>
        <v>20</v>
      </c>
      <c r="AF9">
        <v>20</v>
      </c>
    </row>
    <row r="10" spans="1:33" x14ac:dyDescent="0.35">
      <c r="B10" t="s">
        <v>49</v>
      </c>
      <c r="C10" s="20">
        <v>104</v>
      </c>
      <c r="D10" s="20">
        <v>104</v>
      </c>
      <c r="E10" s="20">
        <v>104</v>
      </c>
      <c r="F10" s="14">
        <f ca="1">$AE$9</f>
        <v>20</v>
      </c>
      <c r="G10" s="14">
        <f t="shared" ref="G10:H10" ca="1" si="11">$AE$9</f>
        <v>20</v>
      </c>
      <c r="H10" s="14">
        <f t="shared" ca="1" si="11"/>
        <v>20</v>
      </c>
      <c r="I10" s="14">
        <f ca="1">IF(H10&lt;(104-10),H10+$AF$10,104)</f>
        <v>30</v>
      </c>
      <c r="J10" s="14">
        <f t="shared" ref="J10:V10" ca="1" si="12">IF(I10&lt;(104-10),I10+$AF$10,104)</f>
        <v>40</v>
      </c>
      <c r="K10" s="14">
        <f t="shared" ca="1" si="12"/>
        <v>50</v>
      </c>
      <c r="L10" s="14">
        <f t="shared" ca="1" si="12"/>
        <v>60</v>
      </c>
      <c r="M10" s="14">
        <f t="shared" ca="1" si="12"/>
        <v>70</v>
      </c>
      <c r="N10" s="14">
        <f t="shared" ca="1" si="12"/>
        <v>80</v>
      </c>
      <c r="O10" s="14">
        <f t="shared" ca="1" si="12"/>
        <v>90</v>
      </c>
      <c r="P10" s="14">
        <f t="shared" ca="1" si="12"/>
        <v>100</v>
      </c>
      <c r="Q10" s="14">
        <f t="shared" ca="1" si="12"/>
        <v>104</v>
      </c>
      <c r="R10" s="14">
        <f t="shared" ca="1" si="12"/>
        <v>104</v>
      </c>
      <c r="S10" s="14">
        <f t="shared" ca="1" si="12"/>
        <v>104</v>
      </c>
      <c r="T10" s="14">
        <f t="shared" ca="1" si="12"/>
        <v>104</v>
      </c>
      <c r="U10" s="14">
        <f t="shared" ca="1" si="12"/>
        <v>104</v>
      </c>
      <c r="V10" s="14">
        <f t="shared" ca="1" si="12"/>
        <v>104</v>
      </c>
      <c r="W10" s="14"/>
      <c r="X10" s="14">
        <f t="shared" ref="X10:AA46" ca="1" si="13">SUMIF($F$4:$V$4,X$4,$F10:$V10)</f>
        <v>110</v>
      </c>
      <c r="Y10" s="14">
        <f t="shared" ca="1" si="10"/>
        <v>260</v>
      </c>
      <c r="Z10" s="14">
        <f t="shared" ca="1" si="10"/>
        <v>398</v>
      </c>
      <c r="AA10" s="14">
        <f t="shared" ca="1" si="10"/>
        <v>416</v>
      </c>
      <c r="AD10" t="s">
        <v>119</v>
      </c>
      <c r="AE10">
        <f t="shared" ca="1" si="8"/>
        <v>10</v>
      </c>
      <c r="AF10">
        <v>10</v>
      </c>
    </row>
    <row r="11" spans="1:33" x14ac:dyDescent="0.35">
      <c r="B11" t="s">
        <v>50</v>
      </c>
      <c r="C11" s="14">
        <f>C9*10^3/C10</f>
        <v>211317.30769230769</v>
      </c>
      <c r="D11" s="14">
        <f t="shared" ref="D11:E11" si="14">D9*10^3/D10</f>
        <v>34817.307692307695</v>
      </c>
      <c r="E11" s="14">
        <f t="shared" si="14"/>
        <v>0</v>
      </c>
      <c r="F11" s="14">
        <f t="shared" ref="F11:V11" ca="1" si="15">$AE$8</f>
        <v>200000</v>
      </c>
      <c r="G11" s="14">
        <f t="shared" ca="1" si="15"/>
        <v>200000</v>
      </c>
      <c r="H11" s="14">
        <f t="shared" ca="1" si="15"/>
        <v>200000</v>
      </c>
      <c r="I11" s="14">
        <f t="shared" ca="1" si="15"/>
        <v>200000</v>
      </c>
      <c r="J11" s="14">
        <f t="shared" ca="1" si="15"/>
        <v>200000</v>
      </c>
      <c r="K11" s="14">
        <f t="shared" ca="1" si="15"/>
        <v>200000</v>
      </c>
      <c r="L11" s="14">
        <f t="shared" ca="1" si="15"/>
        <v>200000</v>
      </c>
      <c r="M11" s="14">
        <f t="shared" ca="1" si="15"/>
        <v>200000</v>
      </c>
      <c r="N11" s="14">
        <f t="shared" ca="1" si="15"/>
        <v>200000</v>
      </c>
      <c r="O11" s="14">
        <f t="shared" ca="1" si="15"/>
        <v>200000</v>
      </c>
      <c r="P11" s="14">
        <f t="shared" ca="1" si="15"/>
        <v>200000</v>
      </c>
      <c r="Q11" s="14">
        <f t="shared" ca="1" si="15"/>
        <v>200000</v>
      </c>
      <c r="R11" s="14">
        <f t="shared" ca="1" si="15"/>
        <v>200000</v>
      </c>
      <c r="S11" s="14">
        <f t="shared" ca="1" si="15"/>
        <v>200000</v>
      </c>
      <c r="T11" s="14">
        <f t="shared" ca="1" si="15"/>
        <v>200000</v>
      </c>
      <c r="U11" s="14">
        <f t="shared" ca="1" si="15"/>
        <v>200000</v>
      </c>
      <c r="V11" s="14">
        <f t="shared" ca="1" si="15"/>
        <v>200000</v>
      </c>
      <c r="W11" s="14"/>
      <c r="X11" s="14">
        <f t="shared" ca="1" si="13"/>
        <v>800000</v>
      </c>
      <c r="Y11" s="14">
        <f t="shared" ca="1" si="10"/>
        <v>800000</v>
      </c>
      <c r="Z11" s="14">
        <f t="shared" ca="1" si="10"/>
        <v>800000</v>
      </c>
      <c r="AA11" s="14">
        <f t="shared" ca="1" si="10"/>
        <v>800000</v>
      </c>
      <c r="AD11" t="s">
        <v>60</v>
      </c>
      <c r="AE11">
        <f t="shared" ref="AE11:AE51" ca="1" si="16">OFFSET(AE11,,$AE$6)</f>
        <v>180</v>
      </c>
      <c r="AF11">
        <v>180</v>
      </c>
    </row>
    <row r="12" spans="1:33" x14ac:dyDescent="0.35">
      <c r="B12" t="s">
        <v>51</v>
      </c>
      <c r="C12" s="26">
        <v>1.04</v>
      </c>
      <c r="D12" s="27">
        <v>0.96099999999999997</v>
      </c>
      <c r="E12" s="26">
        <v>0</v>
      </c>
      <c r="F12" s="32" cm="1">
        <f t="array" aca="1" ref="F12:V12" ca="1">TRANSPOSE(AE13:AE29)</f>
        <v>0</v>
      </c>
      <c r="G12" s="32">
        <f ca="1"/>
        <v>0</v>
      </c>
      <c r="H12" s="32">
        <f ca="1"/>
        <v>0.25</v>
      </c>
      <c r="I12" s="32">
        <f ca="1"/>
        <v>0.3</v>
      </c>
      <c r="J12" s="32">
        <f ca="1"/>
        <v>0.4</v>
      </c>
      <c r="K12" s="32">
        <f ca="1"/>
        <v>0.5</v>
      </c>
      <c r="L12" s="32">
        <f ca="1"/>
        <v>0.7</v>
      </c>
      <c r="M12" s="32">
        <f ca="1"/>
        <v>0.8</v>
      </c>
      <c r="N12" s="32">
        <f ca="1"/>
        <v>0.9</v>
      </c>
      <c r="O12" s="32">
        <f ca="1"/>
        <v>1</v>
      </c>
      <c r="P12" s="32">
        <f ca="1"/>
        <v>1</v>
      </c>
      <c r="Q12" s="32">
        <f ca="1"/>
        <v>1</v>
      </c>
      <c r="R12" s="32">
        <f ca="1"/>
        <v>1</v>
      </c>
      <c r="S12" s="32">
        <f ca="1"/>
        <v>1</v>
      </c>
      <c r="T12" s="32">
        <f ca="1"/>
        <v>1</v>
      </c>
      <c r="U12" s="32">
        <f ca="1"/>
        <v>1</v>
      </c>
      <c r="V12" s="32">
        <f ca="1"/>
        <v>1</v>
      </c>
      <c r="W12" s="32"/>
      <c r="X12" s="14">
        <f t="shared" ca="1" si="13"/>
        <v>0.95000000000000007</v>
      </c>
      <c r="Y12" s="14">
        <f t="shared" ca="1" si="10"/>
        <v>2.9</v>
      </c>
      <c r="Z12" s="14">
        <f t="shared" ca="1" si="10"/>
        <v>4</v>
      </c>
      <c r="AA12" s="14">
        <f t="shared" ca="1" si="10"/>
        <v>4</v>
      </c>
      <c r="AD12" s="10" t="s">
        <v>141</v>
      </c>
      <c r="AE12" s="10">
        <f t="shared" ca="1" si="16"/>
        <v>0.02</v>
      </c>
      <c r="AF12" s="30">
        <v>0.02</v>
      </c>
      <c r="AG12" s="30"/>
    </row>
    <row r="13" spans="1:33" x14ac:dyDescent="0.35">
      <c r="B13" t="s">
        <v>52</v>
      </c>
      <c r="C13" s="14">
        <f>IFERROR(C18*10^3/C9,"N/A")</f>
        <v>217.95513491377349</v>
      </c>
      <c r="D13" s="14">
        <f>IFERROR(D18*10^3/D9,"N/A")</f>
        <v>204.36343551505109</v>
      </c>
      <c r="E13" s="14" t="str">
        <f>IFERROR(E18*10^3/E9,"N/A")</f>
        <v>N/A</v>
      </c>
      <c r="F13" s="14">
        <f ca="1">$AE$11</f>
        <v>180</v>
      </c>
      <c r="G13" s="14">
        <f t="shared" ref="G13:V13" ca="1" si="17">F13*(1+$AE$12)</f>
        <v>183.6</v>
      </c>
      <c r="H13" s="14">
        <f t="shared" ca="1" si="17"/>
        <v>187.27199999999999</v>
      </c>
      <c r="I13" s="14">
        <f t="shared" ca="1" si="17"/>
        <v>191.01743999999999</v>
      </c>
      <c r="J13" s="14">
        <f t="shared" ca="1" si="17"/>
        <v>194.8377888</v>
      </c>
      <c r="K13" s="14">
        <f t="shared" ca="1" si="17"/>
        <v>198.73454457599999</v>
      </c>
      <c r="L13" s="14">
        <f t="shared" ca="1" si="17"/>
        <v>202.70923546751999</v>
      </c>
      <c r="M13" s="14">
        <f t="shared" ca="1" si="17"/>
        <v>206.7634201768704</v>
      </c>
      <c r="N13" s="14">
        <f t="shared" ca="1" si="17"/>
        <v>210.89868858040782</v>
      </c>
      <c r="O13" s="14">
        <f t="shared" ca="1" si="17"/>
        <v>215.11666235201599</v>
      </c>
      <c r="P13" s="14">
        <f t="shared" ca="1" si="17"/>
        <v>219.41899559905633</v>
      </c>
      <c r="Q13" s="14">
        <f t="shared" ca="1" si="17"/>
        <v>223.80737551103746</v>
      </c>
      <c r="R13" s="14">
        <f t="shared" ca="1" si="17"/>
        <v>228.28352302125822</v>
      </c>
      <c r="S13" s="14">
        <f t="shared" ca="1" si="17"/>
        <v>232.84919348168339</v>
      </c>
      <c r="T13" s="14">
        <f t="shared" ca="1" si="17"/>
        <v>237.50617735131706</v>
      </c>
      <c r="U13" s="14">
        <f t="shared" ca="1" si="17"/>
        <v>242.2563008983434</v>
      </c>
      <c r="V13" s="14">
        <f t="shared" ca="1" si="17"/>
        <v>247.10142691631026</v>
      </c>
      <c r="W13" s="14"/>
      <c r="X13" s="14">
        <f t="shared" ca="1" si="13"/>
        <v>756.72722879999992</v>
      </c>
      <c r="Y13" s="14">
        <f t="shared" ca="1" si="10"/>
        <v>819.1058888007982</v>
      </c>
      <c r="Z13" s="14">
        <f t="shared" ca="1" si="10"/>
        <v>886.62655648336806</v>
      </c>
      <c r="AA13" s="14">
        <f t="shared" ca="1" si="10"/>
        <v>959.71309864765419</v>
      </c>
      <c r="AC13">
        <v>2020</v>
      </c>
      <c r="AD13" s="10" t="s">
        <v>61</v>
      </c>
      <c r="AE13" s="34">
        <f t="shared" ca="1" si="16"/>
        <v>0</v>
      </c>
      <c r="AF13" s="30">
        <v>0</v>
      </c>
      <c r="AG13" s="30"/>
    </row>
    <row r="14" spans="1:33" x14ac:dyDescent="0.35">
      <c r="X14" s="14">
        <f t="shared" si="13"/>
        <v>0</v>
      </c>
      <c r="Y14" s="14">
        <f t="shared" si="10"/>
        <v>0</v>
      </c>
      <c r="Z14" s="14">
        <f t="shared" si="10"/>
        <v>0</v>
      </c>
      <c r="AA14" s="14">
        <f t="shared" si="10"/>
        <v>0</v>
      </c>
      <c r="AD14" s="6" t="s">
        <v>62</v>
      </c>
      <c r="AE14" s="31">
        <f t="shared" ca="1" si="16"/>
        <v>0</v>
      </c>
      <c r="AF14" s="31">
        <v>0</v>
      </c>
      <c r="AG14" s="31"/>
    </row>
    <row r="15" spans="1:33" x14ac:dyDescent="0.35">
      <c r="B15" t="s">
        <v>27</v>
      </c>
      <c r="C15" s="20">
        <v>3234</v>
      </c>
      <c r="D15" s="20">
        <v>446</v>
      </c>
      <c r="E15" s="20">
        <v>0</v>
      </c>
      <c r="X15" s="14">
        <f t="shared" si="13"/>
        <v>0</v>
      </c>
      <c r="Y15" s="14">
        <f t="shared" si="10"/>
        <v>0</v>
      </c>
      <c r="Z15" s="14">
        <f t="shared" si="10"/>
        <v>0</v>
      </c>
      <c r="AA15" s="14">
        <f t="shared" si="10"/>
        <v>0</v>
      </c>
      <c r="AC15">
        <v>2021</v>
      </c>
      <c r="AD15" t="s">
        <v>63</v>
      </c>
      <c r="AE15" s="11">
        <f t="shared" ca="1" si="16"/>
        <v>0.25</v>
      </c>
      <c r="AF15" s="11">
        <v>0.25</v>
      </c>
      <c r="AG15" s="11"/>
    </row>
    <row r="16" spans="1:33" x14ac:dyDescent="0.35">
      <c r="B16" t="s">
        <v>28</v>
      </c>
      <c r="C16" s="20">
        <v>1556</v>
      </c>
      <c r="D16" s="20">
        <v>294</v>
      </c>
      <c r="E16" s="20">
        <v>31</v>
      </c>
      <c r="X16" s="14">
        <f t="shared" si="13"/>
        <v>0</v>
      </c>
      <c r="Y16" s="14">
        <f t="shared" si="10"/>
        <v>0</v>
      </c>
      <c r="Z16" s="14">
        <f t="shared" si="10"/>
        <v>0</v>
      </c>
      <c r="AA16" s="14">
        <f t="shared" si="10"/>
        <v>0</v>
      </c>
      <c r="AD16" t="s">
        <v>64</v>
      </c>
      <c r="AE16" s="11">
        <f t="shared" ca="1" si="16"/>
        <v>0.3</v>
      </c>
      <c r="AF16" s="11">
        <v>0.3</v>
      </c>
      <c r="AG16" s="11"/>
    </row>
    <row r="17" spans="1:33" x14ac:dyDescent="0.35">
      <c r="B17" t="s">
        <v>130</v>
      </c>
      <c r="O17" s="14">
        <f>-2400/8</f>
        <v>-300</v>
      </c>
      <c r="P17" s="14">
        <f t="shared" ref="P17:V17" si="18">-2400/8</f>
        <v>-300</v>
      </c>
      <c r="Q17" s="14">
        <f t="shared" si="18"/>
        <v>-300</v>
      </c>
      <c r="R17" s="14">
        <f t="shared" si="18"/>
        <v>-300</v>
      </c>
      <c r="S17" s="14">
        <f t="shared" si="18"/>
        <v>-300</v>
      </c>
      <c r="T17" s="14">
        <f t="shared" si="18"/>
        <v>-300</v>
      </c>
      <c r="U17" s="14">
        <f t="shared" si="18"/>
        <v>-300</v>
      </c>
      <c r="V17" s="14">
        <f t="shared" si="18"/>
        <v>-300</v>
      </c>
      <c r="W17" s="49"/>
      <c r="X17" s="14">
        <f t="shared" ref="X17:AA18" ca="1" si="19">SUMIF($F$4:$V$4,X$4,$F18:$V18)</f>
        <v>1154.5843161600001</v>
      </c>
      <c r="Y17" s="14">
        <f t="shared" ca="1" si="19"/>
        <v>8049.1217223459889</v>
      </c>
      <c r="Z17" s="14">
        <f t="shared" ca="1" si="19"/>
        <v>16463.970523789161</v>
      </c>
      <c r="AA17" s="14">
        <f t="shared" ca="1" si="19"/>
        <v>18762.032451871208</v>
      </c>
      <c r="AD17" t="s">
        <v>61</v>
      </c>
      <c r="AE17" s="11">
        <f t="shared" ca="1" si="16"/>
        <v>0.4</v>
      </c>
      <c r="AF17" s="11">
        <v>0.4</v>
      </c>
      <c r="AG17" s="11"/>
    </row>
    <row r="18" spans="1:33" x14ac:dyDescent="0.35">
      <c r="B18" s="69" t="s">
        <v>29</v>
      </c>
      <c r="C18" s="69">
        <f>SUM(C15:C16)</f>
        <v>4790</v>
      </c>
      <c r="D18" s="69">
        <f>SUM(D15:D16)</f>
        <v>740</v>
      </c>
      <c r="E18" s="69">
        <f>SUM(E15:E16)</f>
        <v>31</v>
      </c>
      <c r="F18" s="70">
        <f ca="1">F9*F13/10^3+F17</f>
        <v>0</v>
      </c>
      <c r="G18" s="70">
        <f t="shared" ref="G18:V18" ca="1" si="20">G9*G13/10^3+G17</f>
        <v>0</v>
      </c>
      <c r="H18" s="70">
        <f t="shared" ca="1" si="20"/>
        <v>187.27199999999999</v>
      </c>
      <c r="I18" s="70">
        <f t="shared" ca="1" si="20"/>
        <v>343.83139199999999</v>
      </c>
      <c r="J18" s="70">
        <f t="shared" ca="1" si="20"/>
        <v>623.48092415999997</v>
      </c>
      <c r="K18" s="70">
        <f t="shared" ca="1" si="20"/>
        <v>993.67272287999992</v>
      </c>
      <c r="L18" s="70">
        <f t="shared" ca="1" si="20"/>
        <v>1702.7575779271681</v>
      </c>
      <c r="M18" s="70">
        <f t="shared" ca="1" si="20"/>
        <v>2315.7503059809483</v>
      </c>
      <c r="N18" s="70">
        <f t="shared" ca="1" si="20"/>
        <v>3036.9411155578728</v>
      </c>
      <c r="O18" s="70">
        <f t="shared" ca="1" si="20"/>
        <v>3572.0999223362878</v>
      </c>
      <c r="P18" s="70">
        <f t="shared" ca="1" si="20"/>
        <v>4088.3799119811265</v>
      </c>
      <c r="Q18" s="70">
        <f t="shared" ca="1" si="20"/>
        <v>4355.1934106295785</v>
      </c>
      <c r="R18" s="70">
        <f t="shared" ca="1" si="20"/>
        <v>4448.2972788421703</v>
      </c>
      <c r="S18" s="70">
        <f t="shared" ca="1" si="20"/>
        <v>4543.2632244190145</v>
      </c>
      <c r="T18" s="70">
        <f t="shared" ca="1" si="20"/>
        <v>4640.128488907395</v>
      </c>
      <c r="U18" s="70">
        <f t="shared" ca="1" si="20"/>
        <v>4738.9310586855427</v>
      </c>
      <c r="V18" s="70">
        <f t="shared" ca="1" si="20"/>
        <v>4839.7096798592538</v>
      </c>
      <c r="W18" s="39"/>
      <c r="X18" s="14">
        <f t="shared" ca="1" si="19"/>
        <v>1.6493333333333333</v>
      </c>
      <c r="Y18" s="14">
        <f t="shared" ca="1" si="19"/>
        <v>1.9787785714285717</v>
      </c>
      <c r="Z18" s="14">
        <f t="shared" ca="1" si="19"/>
        <v>0.40738671107774937</v>
      </c>
      <c r="AA18" s="14">
        <f t="shared" ca="1" si="19"/>
        <v>8.522864333422997E-2</v>
      </c>
      <c r="AD18" s="6" t="s">
        <v>62</v>
      </c>
      <c r="AE18" s="31">
        <f t="shared" ca="1" si="16"/>
        <v>0.5</v>
      </c>
      <c r="AF18" s="31">
        <v>0.5</v>
      </c>
      <c r="AG18" s="31"/>
    </row>
    <row r="19" spans="1:33" x14ac:dyDescent="0.35">
      <c r="B19" s="21" t="s">
        <v>39</v>
      </c>
      <c r="D19" s="39">
        <f>IFERROR(D18/C18-1,"N/A")</f>
        <v>-0.8455114822546973</v>
      </c>
      <c r="E19" s="39">
        <f>IFERROR(E18/D18-1,"N/A")</f>
        <v>-0.95810810810810809</v>
      </c>
      <c r="F19" s="39">
        <f t="shared" ref="F19:V19" ca="1" si="21">IFERROR(F18/E18-1,"N/A")</f>
        <v>-1</v>
      </c>
      <c r="G19" s="39" t="str">
        <f t="shared" ca="1" si="21"/>
        <v>N/A</v>
      </c>
      <c r="H19" s="39" t="str">
        <f t="shared" ca="1" si="21"/>
        <v>N/A</v>
      </c>
      <c r="I19" s="39">
        <f t="shared" ca="1" si="21"/>
        <v>0.83600000000000008</v>
      </c>
      <c r="J19" s="39">
        <f t="shared" ca="1" si="21"/>
        <v>0.81333333333333324</v>
      </c>
      <c r="K19" s="39">
        <f t="shared" ca="1" si="21"/>
        <v>0.59375</v>
      </c>
      <c r="L19" s="39">
        <f t="shared" ca="1" si="21"/>
        <v>0.71360000000000023</v>
      </c>
      <c r="M19" s="39">
        <f t="shared" ca="1" si="21"/>
        <v>0.35999999999999988</v>
      </c>
      <c r="N19" s="39">
        <f t="shared" ca="1" si="21"/>
        <v>0.31142857142857161</v>
      </c>
      <c r="O19" s="39">
        <f t="shared" ca="1" si="21"/>
        <v>0.17621639222336682</v>
      </c>
      <c r="P19" s="39">
        <f t="shared" ca="1" si="21"/>
        <v>0.14453122837257371</v>
      </c>
      <c r="Q19" s="39">
        <f t="shared" ca="1" si="21"/>
        <v>6.5261424914682342E-2</v>
      </c>
      <c r="R19" s="39">
        <f t="shared" ca="1" si="21"/>
        <v>2.1377665567126503E-2</v>
      </c>
      <c r="S19" s="39">
        <f t="shared" ca="1" si="21"/>
        <v>2.1348830715190559E-2</v>
      </c>
      <c r="T19" s="39">
        <f t="shared" ca="1" si="21"/>
        <v>2.13206366665597E-2</v>
      </c>
      <c r="U19" s="39">
        <f t="shared" ca="1" si="21"/>
        <v>2.1293067641196428E-2</v>
      </c>
      <c r="V19" s="39">
        <f t="shared" ca="1" si="21"/>
        <v>2.1266108311283283E-2</v>
      </c>
      <c r="X19" s="14"/>
      <c r="Y19" s="14"/>
      <c r="Z19" s="14"/>
      <c r="AA19" s="14"/>
      <c r="AC19">
        <v>2022</v>
      </c>
      <c r="AD19" t="s">
        <v>63</v>
      </c>
      <c r="AE19" s="11">
        <f t="shared" ca="1" si="16"/>
        <v>0.7</v>
      </c>
      <c r="AF19" s="11">
        <v>0.7</v>
      </c>
      <c r="AG19" s="11"/>
    </row>
    <row r="20" spans="1:33" x14ac:dyDescent="0.35">
      <c r="A20" t="s">
        <v>0</v>
      </c>
      <c r="B20" s="19" t="s">
        <v>30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4"/>
      <c r="X20" s="14">
        <f t="shared" si="13"/>
        <v>0</v>
      </c>
      <c r="Y20" s="14">
        <f t="shared" si="10"/>
        <v>0</v>
      </c>
      <c r="Z20" s="14">
        <f t="shared" si="10"/>
        <v>0</v>
      </c>
      <c r="AA20" s="14">
        <f t="shared" si="10"/>
        <v>0</v>
      </c>
      <c r="AD20" t="s">
        <v>64</v>
      </c>
      <c r="AE20" s="11">
        <f t="shared" ca="1" si="16"/>
        <v>0.8</v>
      </c>
      <c r="AF20" s="11">
        <v>0.8</v>
      </c>
      <c r="AG20" s="11"/>
    </row>
    <row r="21" spans="1:33" x14ac:dyDescent="0.35">
      <c r="B21" t="s">
        <v>31</v>
      </c>
      <c r="C21" s="23">
        <f>-766</f>
        <v>-766</v>
      </c>
      <c r="D21" s="23">
        <f>-297</f>
        <v>-297</v>
      </c>
      <c r="E21" s="23">
        <v>-34</v>
      </c>
      <c r="F21" s="14">
        <f t="shared" ref="F21:V21" ca="1" si="22">-F$18*$AE30</f>
        <v>0</v>
      </c>
      <c r="G21" s="14">
        <f t="shared" ca="1" si="22"/>
        <v>0</v>
      </c>
      <c r="H21" s="14">
        <f t="shared" ca="1" si="22"/>
        <v>-24.345359999999999</v>
      </c>
      <c r="I21" s="14">
        <f t="shared" ca="1" si="22"/>
        <v>-44.698080959999999</v>
      </c>
      <c r="J21" s="14">
        <f t="shared" ca="1" si="22"/>
        <v>-81.052520140799999</v>
      </c>
      <c r="K21" s="14">
        <f t="shared" ca="1" si="22"/>
        <v>-129.17745397439998</v>
      </c>
      <c r="L21" s="14">
        <f t="shared" ca="1" si="22"/>
        <v>-221.35848513053185</v>
      </c>
      <c r="M21" s="14">
        <f t="shared" ca="1" si="22"/>
        <v>-301.0475397775233</v>
      </c>
      <c r="N21" s="14">
        <f t="shared" ca="1" si="22"/>
        <v>-394.80234502252347</v>
      </c>
      <c r="O21" s="14">
        <f t="shared" ca="1" si="22"/>
        <v>-464.37298990371744</v>
      </c>
      <c r="P21" s="14">
        <f t="shared" ca="1" si="22"/>
        <v>-531.48938855754648</v>
      </c>
      <c r="Q21" s="14">
        <f t="shared" ca="1" si="22"/>
        <v>-566.17514338184526</v>
      </c>
      <c r="R21" s="14">
        <f t="shared" ca="1" si="22"/>
        <v>-578.27864624948211</v>
      </c>
      <c r="S21" s="14">
        <f t="shared" ca="1" si="22"/>
        <v>-590.62421917447193</v>
      </c>
      <c r="T21" s="14">
        <f t="shared" ca="1" si="22"/>
        <v>-603.21670355796141</v>
      </c>
      <c r="U21" s="14">
        <f t="shared" ca="1" si="22"/>
        <v>-616.06103762912062</v>
      </c>
      <c r="V21" s="14">
        <f t="shared" ca="1" si="22"/>
        <v>-629.16225838170305</v>
      </c>
      <c r="W21" s="14"/>
      <c r="X21" s="14">
        <f t="shared" ca="1" si="13"/>
        <v>-150.0959611008</v>
      </c>
      <c r="Y21" s="14">
        <f t="shared" ca="1" si="10"/>
        <v>-1046.3858239049787</v>
      </c>
      <c r="Z21" s="14">
        <f t="shared" ca="1" si="10"/>
        <v>-2140.3161680925914</v>
      </c>
      <c r="AA21" s="14">
        <f t="shared" ca="1" si="10"/>
        <v>-2439.0642187432568</v>
      </c>
      <c r="AD21" t="s">
        <v>61</v>
      </c>
      <c r="AE21" s="11">
        <f t="shared" ca="1" si="16"/>
        <v>0.9</v>
      </c>
      <c r="AF21" s="11">
        <v>0.9</v>
      </c>
      <c r="AG21" s="11"/>
    </row>
    <row r="22" spans="1:33" x14ac:dyDescent="0.35">
      <c r="B22" t="s">
        <v>28</v>
      </c>
      <c r="C22" s="23">
        <v>-471</v>
      </c>
      <c r="D22" s="23">
        <v>-114</v>
      </c>
      <c r="E22" s="23">
        <v>-9</v>
      </c>
      <c r="F22" s="14">
        <f t="shared" ref="F22:V22" ca="1" si="23">-F$18*$AE31</f>
        <v>0</v>
      </c>
      <c r="G22" s="14">
        <f t="shared" ca="1" si="23"/>
        <v>0</v>
      </c>
      <c r="H22" s="14">
        <f t="shared" ca="1" si="23"/>
        <v>-5.6181599999999996</v>
      </c>
      <c r="I22" s="14">
        <f t="shared" ca="1" si="23"/>
        <v>-10.31494176</v>
      </c>
      <c r="J22" s="14">
        <f t="shared" ca="1" si="23"/>
        <v>-18.704427724799999</v>
      </c>
      <c r="K22" s="14">
        <f t="shared" ca="1" si="23"/>
        <v>-29.810181686399996</v>
      </c>
      <c r="L22" s="14">
        <f t="shared" ca="1" si="23"/>
        <v>-51.082727337815044</v>
      </c>
      <c r="M22" s="14">
        <f t="shared" ca="1" si="23"/>
        <v>-69.472509179428442</v>
      </c>
      <c r="N22" s="14">
        <f t="shared" ca="1" si="23"/>
        <v>-91.108233466736181</v>
      </c>
      <c r="O22" s="14">
        <f t="shared" ca="1" si="23"/>
        <v>-107.16299767008863</v>
      </c>
      <c r="P22" s="14">
        <f t="shared" ca="1" si="23"/>
        <v>-122.65139735943379</v>
      </c>
      <c r="Q22" s="14">
        <f t="shared" ca="1" si="23"/>
        <v>-130.65580231888734</v>
      </c>
      <c r="R22" s="14">
        <f t="shared" ca="1" si="23"/>
        <v>-133.44891836526511</v>
      </c>
      <c r="S22" s="14">
        <f t="shared" ca="1" si="23"/>
        <v>-136.29789673257042</v>
      </c>
      <c r="T22" s="14">
        <f t="shared" ca="1" si="23"/>
        <v>-139.20385466722183</v>
      </c>
      <c r="U22" s="14">
        <f t="shared" ca="1" si="23"/>
        <v>-142.16793176056626</v>
      </c>
      <c r="V22" s="14">
        <f t="shared" ca="1" si="23"/>
        <v>-145.1912903957776</v>
      </c>
      <c r="W22" s="14"/>
      <c r="X22" s="14">
        <f t="shared" ca="1" si="13"/>
        <v>-34.637529484799998</v>
      </c>
      <c r="Y22" s="14">
        <f t="shared" ca="1" si="10"/>
        <v>-241.47365167037967</v>
      </c>
      <c r="Z22" s="14">
        <f t="shared" ca="1" si="10"/>
        <v>-493.9191157136749</v>
      </c>
      <c r="AA22" s="14">
        <f t="shared" ca="1" si="10"/>
        <v>-562.86097355613617</v>
      </c>
      <c r="AD22" s="6" t="s">
        <v>62</v>
      </c>
      <c r="AE22" s="31">
        <f t="shared" ca="1" si="16"/>
        <v>1</v>
      </c>
      <c r="AF22" s="31">
        <v>1</v>
      </c>
      <c r="AG22" s="31"/>
    </row>
    <row r="23" spans="1:33" x14ac:dyDescent="0.35">
      <c r="B23" t="s">
        <v>32</v>
      </c>
      <c r="C23" s="23">
        <v>-601</v>
      </c>
      <c r="D23" s="23">
        <v>-705</v>
      </c>
      <c r="E23" s="23">
        <v>-248</v>
      </c>
      <c r="F23" s="14">
        <f t="shared" ref="F23:V23" ca="1" si="24">IF(F18=0,-$AE$32,-$AE$33*F$10)</f>
        <v>-150</v>
      </c>
      <c r="G23" s="14">
        <f t="shared" ca="1" si="24"/>
        <v>-150</v>
      </c>
      <c r="H23" s="14">
        <f t="shared" ca="1" si="24"/>
        <v>-108.125</v>
      </c>
      <c r="I23" s="14">
        <f t="shared" ca="1" si="24"/>
        <v>-162.1875</v>
      </c>
      <c r="J23" s="14">
        <f t="shared" ca="1" si="24"/>
        <v>-216.25</v>
      </c>
      <c r="K23" s="14">
        <f t="shared" ca="1" si="24"/>
        <v>-270.3125</v>
      </c>
      <c r="L23" s="14">
        <f t="shared" ca="1" si="24"/>
        <v>-324.375</v>
      </c>
      <c r="M23" s="14">
        <f t="shared" ca="1" si="24"/>
        <v>-378.4375</v>
      </c>
      <c r="N23" s="14">
        <f t="shared" ca="1" si="24"/>
        <v>-432.5</v>
      </c>
      <c r="O23" s="14">
        <f t="shared" ca="1" si="24"/>
        <v>-486.5625</v>
      </c>
      <c r="P23" s="14">
        <f t="shared" ca="1" si="24"/>
        <v>-540.625</v>
      </c>
      <c r="Q23" s="14">
        <f t="shared" ca="1" si="24"/>
        <v>-562.25</v>
      </c>
      <c r="R23" s="14">
        <f t="shared" ca="1" si="24"/>
        <v>-562.25</v>
      </c>
      <c r="S23" s="14">
        <f t="shared" ca="1" si="24"/>
        <v>-562.25</v>
      </c>
      <c r="T23" s="14">
        <f t="shared" ca="1" si="24"/>
        <v>-562.25</v>
      </c>
      <c r="U23" s="14">
        <f t="shared" ca="1" si="24"/>
        <v>-562.25</v>
      </c>
      <c r="V23" s="14">
        <f t="shared" ca="1" si="24"/>
        <v>-562.25</v>
      </c>
      <c r="W23" s="14"/>
      <c r="X23" s="14">
        <f t="shared" ca="1" si="13"/>
        <v>-636.5625</v>
      </c>
      <c r="Y23" s="14">
        <f t="shared" ca="1" si="10"/>
        <v>-1405.625</v>
      </c>
      <c r="Z23" s="14">
        <f t="shared" ca="1" si="10"/>
        <v>-2151.6875</v>
      </c>
      <c r="AA23" s="14">
        <f t="shared" ca="1" si="10"/>
        <v>-2249</v>
      </c>
      <c r="AC23">
        <v>2023</v>
      </c>
      <c r="AD23" t="s">
        <v>63</v>
      </c>
      <c r="AE23" s="32">
        <f t="shared" ca="1" si="16"/>
        <v>1</v>
      </c>
      <c r="AF23" s="32">
        <v>1</v>
      </c>
      <c r="AG23" s="32"/>
    </row>
    <row r="24" spans="1:33" x14ac:dyDescent="0.35">
      <c r="B24" t="s">
        <v>33</v>
      </c>
      <c r="C24" s="23">
        <v>-396</v>
      </c>
      <c r="D24" s="23">
        <f>-201</f>
        <v>-201</v>
      </c>
      <c r="E24" s="23">
        <v>-121</v>
      </c>
      <c r="F24" s="14">
        <f t="shared" ref="F24:V24" ca="1" si="25">IF(F$18=0,-$AE$34,-$AE$35*F$10)</f>
        <v>-100</v>
      </c>
      <c r="G24" s="14">
        <f t="shared" ca="1" si="25"/>
        <v>-100</v>
      </c>
      <c r="H24" s="14">
        <f t="shared" ca="1" si="25"/>
        <v>-75.096153846153854</v>
      </c>
      <c r="I24" s="14">
        <f t="shared" ca="1" si="25"/>
        <v>-112.64423076923077</v>
      </c>
      <c r="J24" s="14">
        <f t="shared" ca="1" si="25"/>
        <v>-150.19230769230771</v>
      </c>
      <c r="K24" s="14">
        <f t="shared" ca="1" si="25"/>
        <v>-187.74038461538461</v>
      </c>
      <c r="L24" s="14">
        <f t="shared" ca="1" si="25"/>
        <v>-225.28846153846155</v>
      </c>
      <c r="M24" s="14">
        <f t="shared" ca="1" si="25"/>
        <v>-262.83653846153845</v>
      </c>
      <c r="N24" s="14">
        <f t="shared" ca="1" si="25"/>
        <v>-300.38461538461542</v>
      </c>
      <c r="O24" s="14">
        <f t="shared" ca="1" si="25"/>
        <v>-337.93269230769232</v>
      </c>
      <c r="P24" s="14">
        <f t="shared" ca="1" si="25"/>
        <v>-375.48076923076923</v>
      </c>
      <c r="Q24" s="14">
        <f t="shared" ca="1" si="25"/>
        <v>-390.5</v>
      </c>
      <c r="R24" s="14">
        <f t="shared" ca="1" si="25"/>
        <v>-390.5</v>
      </c>
      <c r="S24" s="14">
        <f t="shared" ca="1" si="25"/>
        <v>-390.5</v>
      </c>
      <c r="T24" s="14">
        <f t="shared" ca="1" si="25"/>
        <v>-390.5</v>
      </c>
      <c r="U24" s="14">
        <f t="shared" ca="1" si="25"/>
        <v>-390.5</v>
      </c>
      <c r="V24" s="14">
        <f t="shared" ca="1" si="25"/>
        <v>-390.5</v>
      </c>
      <c r="W24" s="14"/>
      <c r="X24" s="14">
        <f t="shared" ca="1" si="13"/>
        <v>-437.93269230769238</v>
      </c>
      <c r="Y24" s="14">
        <f t="shared" ca="1" si="10"/>
        <v>-976.25</v>
      </c>
      <c r="Z24" s="14">
        <f t="shared" ca="1" si="10"/>
        <v>-1494.4134615384614</v>
      </c>
      <c r="AA24" s="14">
        <f t="shared" ca="1" si="10"/>
        <v>-1562</v>
      </c>
      <c r="AD24" t="s">
        <v>64</v>
      </c>
      <c r="AE24" s="32">
        <f t="shared" ca="1" si="16"/>
        <v>1</v>
      </c>
      <c r="AF24" s="32">
        <v>1</v>
      </c>
      <c r="AG24" s="32"/>
    </row>
    <row r="25" spans="1:33" x14ac:dyDescent="0.35">
      <c r="B25" t="s">
        <v>34</v>
      </c>
      <c r="C25" s="23">
        <v>-277</v>
      </c>
      <c r="D25" s="23">
        <v>-108</v>
      </c>
      <c r="E25" s="23">
        <v>-19</v>
      </c>
      <c r="F25" s="14">
        <f t="shared" ref="F25:V25" ca="1" si="26">IF(F$18=0,-$AE$36,-$AE$37*F$10)</f>
        <v>-10</v>
      </c>
      <c r="G25" s="14">
        <f t="shared" ca="1" si="26"/>
        <v>-10</v>
      </c>
      <c r="H25" s="14">
        <f t="shared" ca="1" si="26"/>
        <v>-52.067307692307693</v>
      </c>
      <c r="I25" s="14">
        <f t="shared" ca="1" si="26"/>
        <v>-78.100961538461533</v>
      </c>
      <c r="J25" s="14">
        <f t="shared" ca="1" si="26"/>
        <v>-104.13461538461539</v>
      </c>
      <c r="K25" s="14">
        <f t="shared" ca="1" si="26"/>
        <v>-130.16826923076923</v>
      </c>
      <c r="L25" s="14">
        <f t="shared" ca="1" si="26"/>
        <v>-156.20192307692307</v>
      </c>
      <c r="M25" s="14">
        <f t="shared" ca="1" si="26"/>
        <v>-182.23557692307693</v>
      </c>
      <c r="N25" s="14">
        <f t="shared" ca="1" si="26"/>
        <v>-208.26923076923077</v>
      </c>
      <c r="O25" s="14">
        <f t="shared" ca="1" si="26"/>
        <v>-234.30288461538461</v>
      </c>
      <c r="P25" s="14">
        <f t="shared" ca="1" si="26"/>
        <v>-260.33653846153845</v>
      </c>
      <c r="Q25" s="14">
        <f t="shared" ca="1" si="26"/>
        <v>-270.75</v>
      </c>
      <c r="R25" s="14">
        <f t="shared" ca="1" si="26"/>
        <v>-270.75</v>
      </c>
      <c r="S25" s="14">
        <f t="shared" ca="1" si="26"/>
        <v>-270.75</v>
      </c>
      <c r="T25" s="14">
        <f t="shared" ca="1" si="26"/>
        <v>-270.75</v>
      </c>
      <c r="U25" s="14">
        <f t="shared" ca="1" si="26"/>
        <v>-270.75</v>
      </c>
      <c r="V25" s="14">
        <f t="shared" ca="1" si="26"/>
        <v>-270.75</v>
      </c>
      <c r="W25" s="14"/>
      <c r="X25" s="14">
        <f t="shared" ca="1" si="13"/>
        <v>-244.30288461538461</v>
      </c>
      <c r="Y25" s="14">
        <f t="shared" ca="1" si="13"/>
        <v>-676.875</v>
      </c>
      <c r="Z25" s="14">
        <f t="shared" ca="1" si="13"/>
        <v>-1036.1394230769231</v>
      </c>
      <c r="AA25" s="14">
        <f t="shared" ca="1" si="13"/>
        <v>-1083</v>
      </c>
      <c r="AD25" t="s">
        <v>61</v>
      </c>
      <c r="AE25" s="32">
        <f t="shared" ca="1" si="16"/>
        <v>1</v>
      </c>
      <c r="AF25" s="32">
        <v>1</v>
      </c>
      <c r="AG25" s="32"/>
    </row>
    <row r="26" spans="1:33" x14ac:dyDescent="0.35">
      <c r="B26" t="s">
        <v>35</v>
      </c>
      <c r="C26" s="23">
        <v>0</v>
      </c>
      <c r="D26" s="23">
        <v>-589</v>
      </c>
      <c r="E26" s="23">
        <v>-910</v>
      </c>
      <c r="F26" s="14">
        <f t="shared" ref="F26:V26" ca="1" si="27">-$AE$38</f>
        <v>0</v>
      </c>
      <c r="G26" s="14">
        <f t="shared" ca="1" si="27"/>
        <v>0</v>
      </c>
      <c r="H26" s="14">
        <f t="shared" ca="1" si="27"/>
        <v>0</v>
      </c>
      <c r="I26" s="14">
        <f t="shared" ca="1" si="27"/>
        <v>0</v>
      </c>
      <c r="J26" s="14">
        <f t="shared" ca="1" si="27"/>
        <v>0</v>
      </c>
      <c r="K26" s="14">
        <f t="shared" ca="1" si="27"/>
        <v>0</v>
      </c>
      <c r="L26" s="14">
        <f t="shared" ca="1" si="27"/>
        <v>0</v>
      </c>
      <c r="M26" s="14">
        <f t="shared" ca="1" si="27"/>
        <v>0</v>
      </c>
      <c r="N26" s="14">
        <f t="shared" ca="1" si="27"/>
        <v>0</v>
      </c>
      <c r="O26" s="14">
        <f t="shared" ca="1" si="27"/>
        <v>0</v>
      </c>
      <c r="P26" s="14">
        <f t="shared" ca="1" si="27"/>
        <v>0</v>
      </c>
      <c r="Q26" s="14">
        <f t="shared" ca="1" si="27"/>
        <v>0</v>
      </c>
      <c r="R26" s="14">
        <f t="shared" ca="1" si="27"/>
        <v>0</v>
      </c>
      <c r="S26" s="14">
        <f t="shared" ca="1" si="27"/>
        <v>0</v>
      </c>
      <c r="T26" s="14">
        <f t="shared" ca="1" si="27"/>
        <v>0</v>
      </c>
      <c r="U26" s="14">
        <f t="shared" ca="1" si="27"/>
        <v>0</v>
      </c>
      <c r="V26" s="14">
        <f t="shared" ca="1" si="27"/>
        <v>0</v>
      </c>
      <c r="W26" s="14"/>
      <c r="X26" s="14">
        <f t="shared" ca="1" si="13"/>
        <v>0</v>
      </c>
      <c r="Y26" s="14">
        <f t="shared" ca="1" si="13"/>
        <v>0</v>
      </c>
      <c r="Z26" s="14">
        <f t="shared" ca="1" si="13"/>
        <v>0</v>
      </c>
      <c r="AA26" s="14">
        <f t="shared" ca="1" si="13"/>
        <v>0</v>
      </c>
      <c r="AD26" s="6" t="s">
        <v>62</v>
      </c>
      <c r="AE26" s="33">
        <f t="shared" ca="1" si="16"/>
        <v>1</v>
      </c>
      <c r="AF26" s="33">
        <v>1</v>
      </c>
      <c r="AG26" s="33"/>
    </row>
    <row r="27" spans="1:33" x14ac:dyDescent="0.35">
      <c r="B27" t="s">
        <v>36</v>
      </c>
      <c r="C27" s="23">
        <v>-1001</v>
      </c>
      <c r="D27" s="23">
        <v>-471</v>
      </c>
      <c r="E27" s="23">
        <v>-208</v>
      </c>
      <c r="F27" s="14">
        <f t="shared" ref="F27:V27" ca="1" si="28">IF(F$18=0,-$AE$39,-$AE$40*F$10)</f>
        <v>-200</v>
      </c>
      <c r="G27" s="14">
        <f t="shared" ca="1" si="28"/>
        <v>-200</v>
      </c>
      <c r="H27" s="14">
        <f t="shared" ca="1" si="28"/>
        <v>-140.625</v>
      </c>
      <c r="I27" s="14">
        <f t="shared" ca="1" si="28"/>
        <v>-210.9375</v>
      </c>
      <c r="J27" s="14">
        <f t="shared" ca="1" si="28"/>
        <v>-281.25</v>
      </c>
      <c r="K27" s="14">
        <f t="shared" ca="1" si="28"/>
        <v>-351.5625</v>
      </c>
      <c r="L27" s="14">
        <f t="shared" ca="1" si="28"/>
        <v>-421.875</v>
      </c>
      <c r="M27" s="14">
        <f t="shared" ca="1" si="28"/>
        <v>-492.1875</v>
      </c>
      <c r="N27" s="14">
        <f t="shared" ca="1" si="28"/>
        <v>-562.5</v>
      </c>
      <c r="O27" s="14">
        <f t="shared" ca="1" si="28"/>
        <v>-632.8125</v>
      </c>
      <c r="P27" s="14">
        <f t="shared" ca="1" si="28"/>
        <v>-703.125</v>
      </c>
      <c r="Q27" s="14">
        <f t="shared" ca="1" si="28"/>
        <v>-731.25</v>
      </c>
      <c r="R27" s="14">
        <f t="shared" ca="1" si="28"/>
        <v>-731.25</v>
      </c>
      <c r="S27" s="14">
        <f t="shared" ca="1" si="28"/>
        <v>-731.25</v>
      </c>
      <c r="T27" s="14">
        <f t="shared" ca="1" si="28"/>
        <v>-731.25</v>
      </c>
      <c r="U27" s="14">
        <f t="shared" ca="1" si="28"/>
        <v>-731.25</v>
      </c>
      <c r="V27" s="14">
        <f t="shared" ca="1" si="28"/>
        <v>-731.25</v>
      </c>
      <c r="W27" s="14"/>
      <c r="X27" s="14">
        <f t="shared" ca="1" si="13"/>
        <v>-832.8125</v>
      </c>
      <c r="Y27" s="14">
        <f t="shared" ca="1" si="13"/>
        <v>-1828.125</v>
      </c>
      <c r="Z27" s="14">
        <f t="shared" ca="1" si="13"/>
        <v>-2798.4375</v>
      </c>
      <c r="AA27" s="14">
        <f t="shared" ca="1" si="13"/>
        <v>-2925</v>
      </c>
      <c r="AC27">
        <v>2024</v>
      </c>
      <c r="AD27" t="s">
        <v>63</v>
      </c>
      <c r="AE27" s="32">
        <f t="shared" ca="1" si="16"/>
        <v>1</v>
      </c>
      <c r="AF27" s="32">
        <v>1</v>
      </c>
      <c r="AG27" s="32"/>
    </row>
    <row r="28" spans="1:33" x14ac:dyDescent="0.35">
      <c r="B28" t="s">
        <v>53</v>
      </c>
      <c r="C28" s="23">
        <f>-678</f>
        <v>-678</v>
      </c>
      <c r="D28" s="23">
        <f>-492</f>
        <v>-492</v>
      </c>
      <c r="E28" s="23">
        <f>-265</f>
        <v>-265</v>
      </c>
      <c r="F28" s="14">
        <f t="shared" ref="F28:V28" ca="1" si="29">IF(F$18=0,-$AE$41,-$AE$42*F$10)</f>
        <v>-200</v>
      </c>
      <c r="G28" s="14">
        <f t="shared" ca="1" si="29"/>
        <v>-200</v>
      </c>
      <c r="H28" s="14">
        <f t="shared" ca="1" si="29"/>
        <v>-119.23076923076923</v>
      </c>
      <c r="I28" s="14">
        <f t="shared" ca="1" si="29"/>
        <v>-178.84615384615384</v>
      </c>
      <c r="J28" s="14">
        <f t="shared" ca="1" si="29"/>
        <v>-238.46153846153845</v>
      </c>
      <c r="K28" s="14">
        <f t="shared" ca="1" si="29"/>
        <v>-298.07692307692309</v>
      </c>
      <c r="L28" s="14">
        <f t="shared" ca="1" si="29"/>
        <v>-357.69230769230768</v>
      </c>
      <c r="M28" s="14">
        <f t="shared" ca="1" si="29"/>
        <v>-417.30769230769232</v>
      </c>
      <c r="N28" s="14">
        <f t="shared" ca="1" si="29"/>
        <v>-476.92307692307691</v>
      </c>
      <c r="O28" s="14">
        <f t="shared" ca="1" si="29"/>
        <v>-536.53846153846155</v>
      </c>
      <c r="P28" s="14">
        <f t="shared" ca="1" si="29"/>
        <v>-596.15384615384619</v>
      </c>
      <c r="Q28" s="14">
        <f t="shared" ca="1" si="29"/>
        <v>-620</v>
      </c>
      <c r="R28" s="14">
        <f t="shared" ca="1" si="29"/>
        <v>-620</v>
      </c>
      <c r="S28" s="14">
        <f t="shared" ca="1" si="29"/>
        <v>-620</v>
      </c>
      <c r="T28" s="14">
        <f t="shared" ca="1" si="29"/>
        <v>-620</v>
      </c>
      <c r="U28" s="14">
        <f t="shared" ca="1" si="29"/>
        <v>-620</v>
      </c>
      <c r="V28" s="14">
        <f t="shared" ca="1" si="29"/>
        <v>-620</v>
      </c>
      <c r="W28" s="14"/>
      <c r="X28" s="14">
        <f t="shared" ca="1" si="13"/>
        <v>-736.53846153846155</v>
      </c>
      <c r="Y28" s="14">
        <f t="shared" ca="1" si="13"/>
        <v>-1550</v>
      </c>
      <c r="Z28" s="14">
        <f t="shared" ca="1" si="13"/>
        <v>-2372.6923076923076</v>
      </c>
      <c r="AA28" s="14">
        <f t="shared" ca="1" si="13"/>
        <v>-2480</v>
      </c>
      <c r="AD28" t="s">
        <v>64</v>
      </c>
      <c r="AE28" s="32">
        <f t="shared" ca="1" si="16"/>
        <v>1</v>
      </c>
      <c r="AF28" s="32">
        <v>1</v>
      </c>
      <c r="AG28" s="32"/>
    </row>
    <row r="29" spans="1:33" x14ac:dyDescent="0.35">
      <c r="B29" t="s">
        <v>37</v>
      </c>
      <c r="F29" s="14">
        <f t="shared" ref="F29:V29" ca="1" si="30">-$AE$47*$AE$49</f>
        <v>-280</v>
      </c>
      <c r="G29" s="14">
        <f t="shared" ca="1" si="30"/>
        <v>-280</v>
      </c>
      <c r="H29" s="14">
        <f t="shared" ca="1" si="30"/>
        <v>-280</v>
      </c>
      <c r="I29" s="14">
        <f t="shared" ca="1" si="30"/>
        <v>-280</v>
      </c>
      <c r="J29" s="14">
        <f t="shared" ca="1" si="30"/>
        <v>-280</v>
      </c>
      <c r="K29" s="14">
        <f t="shared" ca="1" si="30"/>
        <v>-280</v>
      </c>
      <c r="L29" s="14">
        <f t="shared" ca="1" si="30"/>
        <v>-280</v>
      </c>
      <c r="M29" s="14">
        <f t="shared" ca="1" si="30"/>
        <v>-280</v>
      </c>
      <c r="N29" s="14">
        <f t="shared" ca="1" si="30"/>
        <v>-280</v>
      </c>
      <c r="O29" s="14">
        <f t="shared" ca="1" si="30"/>
        <v>-280</v>
      </c>
      <c r="P29" s="14">
        <f t="shared" ca="1" si="30"/>
        <v>-280</v>
      </c>
      <c r="Q29" s="14">
        <f t="shared" ca="1" si="30"/>
        <v>-280</v>
      </c>
      <c r="R29" s="14">
        <f t="shared" ca="1" si="30"/>
        <v>-280</v>
      </c>
      <c r="S29" s="14">
        <f t="shared" ca="1" si="30"/>
        <v>-280</v>
      </c>
      <c r="T29" s="14">
        <f t="shared" ca="1" si="30"/>
        <v>-280</v>
      </c>
      <c r="U29" s="14">
        <f t="shared" ca="1" si="30"/>
        <v>-280</v>
      </c>
      <c r="V29" s="14">
        <f t="shared" ca="1" si="30"/>
        <v>-280</v>
      </c>
      <c r="W29" s="14"/>
      <c r="X29" s="14">
        <f t="shared" ca="1" si="13"/>
        <v>-1120</v>
      </c>
      <c r="Y29" s="14">
        <f t="shared" ca="1" si="13"/>
        <v>-1120</v>
      </c>
      <c r="Z29" s="14">
        <f t="shared" ca="1" si="13"/>
        <v>-1120</v>
      </c>
      <c r="AA29" s="14">
        <f t="shared" ca="1" si="13"/>
        <v>-1120</v>
      </c>
      <c r="AD29" s="18" t="s">
        <v>61</v>
      </c>
      <c r="AE29" s="35">
        <f t="shared" ca="1" si="16"/>
        <v>1</v>
      </c>
      <c r="AF29" s="35">
        <v>1</v>
      </c>
      <c r="AG29" s="35"/>
    </row>
    <row r="30" spans="1:33" x14ac:dyDescent="0.35">
      <c r="B30" t="s">
        <v>118</v>
      </c>
      <c r="F30" s="14">
        <f ca="1">-IF(F18&gt;0,F10*$AE$50,0)</f>
        <v>0</v>
      </c>
      <c r="G30" s="14">
        <f ca="1">-IF(G18&gt;0,G10*$AE$50,0)</f>
        <v>0</v>
      </c>
      <c r="H30" s="14">
        <f ca="1">-IF(H18&gt;0,H10*$AE$50,0)</f>
        <v>-100</v>
      </c>
      <c r="I30" s="14">
        <f ca="1">-IF(I10&lt;104,$AF$10*$AF$50,0)</f>
        <v>-50</v>
      </c>
      <c r="J30" s="14">
        <f t="shared" ref="J30:V30" ca="1" si="31">-IF(J10&lt;104,$AF$10*$AF$50,0)</f>
        <v>-50</v>
      </c>
      <c r="K30" s="14">
        <f t="shared" ca="1" si="31"/>
        <v>-50</v>
      </c>
      <c r="L30" s="14">
        <f t="shared" ca="1" si="31"/>
        <v>-50</v>
      </c>
      <c r="M30" s="14">
        <f t="shared" ca="1" si="31"/>
        <v>-50</v>
      </c>
      <c r="N30" s="14">
        <f t="shared" ca="1" si="31"/>
        <v>-50</v>
      </c>
      <c r="O30" s="14">
        <f t="shared" ca="1" si="31"/>
        <v>-50</v>
      </c>
      <c r="P30" s="14">
        <f t="shared" ca="1" si="31"/>
        <v>-50</v>
      </c>
      <c r="Q30" s="14">
        <f t="shared" ca="1" si="31"/>
        <v>0</v>
      </c>
      <c r="R30" s="14">
        <f t="shared" ca="1" si="31"/>
        <v>0</v>
      </c>
      <c r="S30" s="14">
        <f t="shared" ca="1" si="31"/>
        <v>0</v>
      </c>
      <c r="T30" s="14">
        <f t="shared" ca="1" si="31"/>
        <v>0</v>
      </c>
      <c r="U30" s="14">
        <f t="shared" ca="1" si="31"/>
        <v>0</v>
      </c>
      <c r="V30" s="14">
        <f t="shared" ca="1" si="31"/>
        <v>0</v>
      </c>
      <c r="W30" s="50"/>
      <c r="X30" s="14">
        <f t="shared" ca="1" si="13"/>
        <v>-200</v>
      </c>
      <c r="Y30" s="14">
        <f t="shared" ca="1" si="13"/>
        <v>-200</v>
      </c>
      <c r="Z30" s="14">
        <f t="shared" ca="1" si="13"/>
        <v>-100</v>
      </c>
      <c r="AA30" s="14">
        <f t="shared" ca="1" si="13"/>
        <v>0</v>
      </c>
      <c r="AC30" s="6"/>
      <c r="AD30" t="s">
        <v>31</v>
      </c>
      <c r="AE30">
        <f t="shared" ca="1" si="16"/>
        <v>0.13</v>
      </c>
      <c r="AF30" s="25">
        <v>0.13</v>
      </c>
      <c r="AG30" s="25"/>
    </row>
    <row r="31" spans="1:33" x14ac:dyDescent="0.35">
      <c r="B31" s="10" t="s">
        <v>142</v>
      </c>
      <c r="C31" s="22">
        <f>SUM(C21:C30)</f>
        <v>-4190</v>
      </c>
      <c r="D31" s="22">
        <f t="shared" ref="D31:V31" si="32">SUM(D21:D30)</f>
        <v>-2977</v>
      </c>
      <c r="E31" s="22">
        <f t="shared" si="32"/>
        <v>-1814</v>
      </c>
      <c r="F31" s="22">
        <f t="shared" ca="1" si="32"/>
        <v>-940</v>
      </c>
      <c r="G31" s="22">
        <f t="shared" ca="1" si="32"/>
        <v>-940</v>
      </c>
      <c r="H31" s="22">
        <f t="shared" ca="1" si="32"/>
        <v>-905.10775076923073</v>
      </c>
      <c r="I31" s="22">
        <f t="shared" ca="1" si="32"/>
        <v>-1127.7293688738462</v>
      </c>
      <c r="J31" s="22">
        <f t="shared" ca="1" si="32"/>
        <v>-1420.0454094040615</v>
      </c>
      <c r="K31" s="22">
        <f t="shared" ca="1" si="32"/>
        <v>-1726.8482125838768</v>
      </c>
      <c r="L31" s="22">
        <f t="shared" ca="1" si="32"/>
        <v>-2087.8739047760391</v>
      </c>
      <c r="M31" s="22">
        <f t="shared" ca="1" si="32"/>
        <v>-2433.5248566492596</v>
      </c>
      <c r="N31" s="22">
        <f t="shared" ca="1" si="32"/>
        <v>-2796.4875015661828</v>
      </c>
      <c r="O31" s="22">
        <f t="shared" ca="1" si="32"/>
        <v>-3129.6850260353444</v>
      </c>
      <c r="P31" s="22">
        <f t="shared" ca="1" si="32"/>
        <v>-3459.8619397631342</v>
      </c>
      <c r="Q31" s="22">
        <f t="shared" ca="1" si="32"/>
        <v>-3551.5809457007326</v>
      </c>
      <c r="R31" s="22">
        <f t="shared" ca="1" si="32"/>
        <v>-3566.4775646147473</v>
      </c>
      <c r="S31" s="22">
        <f t="shared" ca="1" si="32"/>
        <v>-3581.6721159070421</v>
      </c>
      <c r="T31" s="22">
        <f t="shared" ca="1" si="32"/>
        <v>-3597.1705582251834</v>
      </c>
      <c r="U31" s="22">
        <f t="shared" ca="1" si="32"/>
        <v>-3612.9789693896869</v>
      </c>
      <c r="V31" s="22">
        <f t="shared" ca="1" si="32"/>
        <v>-3629.1035487774807</v>
      </c>
      <c r="W31" s="51"/>
      <c r="X31" s="14">
        <f t="shared" ca="1" si="13"/>
        <v>-4392.8825290471386</v>
      </c>
      <c r="Y31" s="14">
        <f t="shared" ca="1" si="13"/>
        <v>-9044.7344755753584</v>
      </c>
      <c r="Z31" s="14">
        <f t="shared" ca="1" si="13"/>
        <v>-13707.605476113957</v>
      </c>
      <c r="AA31" s="14">
        <f t="shared" ca="1" si="13"/>
        <v>-14420.925192299394</v>
      </c>
      <c r="AD31" t="s">
        <v>28</v>
      </c>
      <c r="AE31">
        <f t="shared" ca="1" si="16"/>
        <v>0.03</v>
      </c>
      <c r="AF31" s="25">
        <v>0.03</v>
      </c>
      <c r="AG31" s="25"/>
    </row>
    <row r="32" spans="1:33" ht="15" thickBot="1" x14ac:dyDescent="0.4">
      <c r="B32" s="71" t="s">
        <v>38</v>
      </c>
      <c r="C32" s="72">
        <f t="shared" ref="C32:V32" si="33">SUM(C18,C31)</f>
        <v>600</v>
      </c>
      <c r="D32" s="72">
        <f t="shared" si="33"/>
        <v>-2237</v>
      </c>
      <c r="E32" s="72">
        <f t="shared" si="33"/>
        <v>-1783</v>
      </c>
      <c r="F32" s="72">
        <f t="shared" ca="1" si="33"/>
        <v>-940</v>
      </c>
      <c r="G32" s="72">
        <f t="shared" ca="1" si="33"/>
        <v>-940</v>
      </c>
      <c r="H32" s="72">
        <f t="shared" ca="1" si="33"/>
        <v>-717.8357507692308</v>
      </c>
      <c r="I32" s="72">
        <f t="shared" ca="1" si="33"/>
        <v>-783.89797687384612</v>
      </c>
      <c r="J32" s="72">
        <f t="shared" ca="1" si="33"/>
        <v>-796.56448524406153</v>
      </c>
      <c r="K32" s="72">
        <f t="shared" ca="1" si="33"/>
        <v>-733.17548970387691</v>
      </c>
      <c r="L32" s="72">
        <f t="shared" ca="1" si="33"/>
        <v>-385.11632684887104</v>
      </c>
      <c r="M32" s="72">
        <f t="shared" ca="1" si="33"/>
        <v>-117.77455066831135</v>
      </c>
      <c r="N32" s="72">
        <f t="shared" ca="1" si="33"/>
        <v>240.45361399168996</v>
      </c>
      <c r="O32" s="72">
        <f t="shared" ca="1" si="33"/>
        <v>442.41489630094338</v>
      </c>
      <c r="P32" s="72">
        <f t="shared" ca="1" si="33"/>
        <v>628.51797221799234</v>
      </c>
      <c r="Q32" s="72">
        <f t="shared" ca="1" si="33"/>
        <v>803.61246492884584</v>
      </c>
      <c r="R32" s="72">
        <f t="shared" ca="1" si="33"/>
        <v>881.81971422742299</v>
      </c>
      <c r="S32" s="72">
        <f t="shared" ca="1" si="33"/>
        <v>961.59110851197238</v>
      </c>
      <c r="T32" s="72">
        <f t="shared" ca="1" si="33"/>
        <v>1042.9579306822116</v>
      </c>
      <c r="U32" s="72">
        <f t="shared" ca="1" si="33"/>
        <v>1125.9520892958558</v>
      </c>
      <c r="V32" s="72">
        <f t="shared" ca="1" si="33"/>
        <v>1210.6061310817731</v>
      </c>
      <c r="W32" s="39"/>
      <c r="X32" s="14">
        <f t="shared" ca="1" si="13"/>
        <v>-3238.2982128871386</v>
      </c>
      <c r="Y32" s="14">
        <f t="shared" ca="1" si="13"/>
        <v>-995.61275322936945</v>
      </c>
      <c r="Z32" s="14">
        <f t="shared" ca="1" si="13"/>
        <v>2756.3650476752046</v>
      </c>
      <c r="AA32" s="14">
        <f t="shared" ca="1" si="13"/>
        <v>4341.1072595718124</v>
      </c>
      <c r="AD32" t="s">
        <v>65</v>
      </c>
      <c r="AE32">
        <f t="shared" ca="1" si="16"/>
        <v>150</v>
      </c>
      <c r="AF32" s="36">
        <v>150</v>
      </c>
      <c r="AG32" s="36"/>
    </row>
    <row r="33" spans="1:33" x14ac:dyDescent="0.35">
      <c r="B33" s="21" t="s">
        <v>40</v>
      </c>
      <c r="C33" s="39">
        <f t="shared" ref="C33:V33" si="34">IFERROR(C32/C18,"N/A")</f>
        <v>0.12526096033402923</v>
      </c>
      <c r="D33" s="39">
        <f t="shared" si="34"/>
        <v>-3.0229729729729731</v>
      </c>
      <c r="E33" s="39">
        <f t="shared" si="34"/>
        <v>-57.516129032258064</v>
      </c>
      <c r="F33" s="39" t="str">
        <f t="shared" ca="1" si="34"/>
        <v>N/A</v>
      </c>
      <c r="G33" s="39" t="str">
        <f t="shared" ca="1" si="34"/>
        <v>N/A</v>
      </c>
      <c r="H33" s="39">
        <f t="shared" ca="1" si="34"/>
        <v>-3.8331184094217545</v>
      </c>
      <c r="I33" s="39">
        <f t="shared" ca="1" si="34"/>
        <v>-2.2798906531310736</v>
      </c>
      <c r="J33" s="39">
        <f t="shared" ca="1" si="34"/>
        <v>-1.2776084309511997</v>
      </c>
      <c r="K33" s="39">
        <f t="shared" ca="1" si="34"/>
        <v>-0.73784403337437521</v>
      </c>
      <c r="L33" s="39">
        <f t="shared" ca="1" si="34"/>
        <v>-0.22617214090903526</v>
      </c>
      <c r="M33" s="39">
        <f t="shared" ca="1" si="34"/>
        <v>-5.08580525128862E-2</v>
      </c>
      <c r="N33" s="39">
        <f t="shared" ca="1" si="34"/>
        <v>7.917625164343027E-2</v>
      </c>
      <c r="O33" s="39">
        <f t="shared" ca="1" si="34"/>
        <v>0.12385288931435809</v>
      </c>
      <c r="P33" s="39">
        <f t="shared" ca="1" si="34"/>
        <v>0.15373277086508047</v>
      </c>
      <c r="Q33" s="39">
        <f t="shared" ca="1" si="34"/>
        <v>0.18451820370766889</v>
      </c>
      <c r="R33" s="39">
        <f t="shared" ca="1" si="34"/>
        <v>0.19823758596838842</v>
      </c>
      <c r="S33" s="39">
        <f t="shared" ca="1" si="34"/>
        <v>0.21165207935644961</v>
      </c>
      <c r="T33" s="39">
        <f t="shared" ca="1" si="34"/>
        <v>0.22476919188239883</v>
      </c>
      <c r="U33" s="39">
        <f t="shared" ca="1" si="34"/>
        <v>0.23759621639403336</v>
      </c>
      <c r="V33" s="39">
        <f t="shared" ca="1" si="34"/>
        <v>0.25014023798158475</v>
      </c>
      <c r="W33" s="25"/>
      <c r="X33" s="14">
        <f t="shared" ca="1" si="13"/>
        <v>-7.3906174935040285</v>
      </c>
      <c r="Y33" s="14">
        <f t="shared" ca="1" si="13"/>
        <v>-0.93569797515286646</v>
      </c>
      <c r="Z33" s="14">
        <f t="shared" ca="1" si="13"/>
        <v>0.66034144985549581</v>
      </c>
      <c r="AA33" s="14">
        <f t="shared" ca="1" si="13"/>
        <v>0.92415772561446663</v>
      </c>
      <c r="AD33" t="s">
        <v>66</v>
      </c>
      <c r="AE33" s="13">
        <f t="shared" ca="1" si="16"/>
        <v>5.40625</v>
      </c>
      <c r="AF33" s="13">
        <f>2249/AF$1/4</f>
        <v>5.40625</v>
      </c>
      <c r="AG33" s="13"/>
    </row>
    <row r="34" spans="1:33" x14ac:dyDescent="0.35">
      <c r="B34" s="21" t="s">
        <v>39</v>
      </c>
      <c r="D34" s="25">
        <f>IFERROR(D32/C32-1,"N/A")</f>
        <v>-4.7283333333333335</v>
      </c>
      <c r="E34" s="25">
        <f>IFERROR(E32/D32-1,"N/A")</f>
        <v>-0.20295037997317833</v>
      </c>
      <c r="F34" s="25">
        <f ca="1">IFERROR(F32/E32-1,"N/A")</f>
        <v>-0.47279865395401011</v>
      </c>
      <c r="G34" s="25">
        <f t="shared" ref="G34:V34" ca="1" si="35">IFERROR(G32/F32-1,"N/A")</f>
        <v>0</v>
      </c>
      <c r="H34" s="25">
        <f t="shared" ca="1" si="35"/>
        <v>-0.23634494599017997</v>
      </c>
      <c r="I34" s="25">
        <f t="shared" ca="1" si="35"/>
        <v>9.2029724117004719E-2</v>
      </c>
      <c r="J34" s="25">
        <f t="shared" ca="1" si="35"/>
        <v>1.6158363388981911E-2</v>
      </c>
      <c r="K34" s="25">
        <f t="shared" ca="1" si="35"/>
        <v>-7.9577983596347157E-2</v>
      </c>
      <c r="L34" s="25">
        <f t="shared" ca="1" si="35"/>
        <v>-0.47472831231112744</v>
      </c>
      <c r="M34" s="25">
        <f t="shared" ca="1" si="35"/>
        <v>-0.69418447763049806</v>
      </c>
      <c r="N34" s="25">
        <f t="shared" ca="1" si="35"/>
        <v>-3.0416432296046696</v>
      </c>
      <c r="O34" s="25">
        <f t="shared" ca="1" si="35"/>
        <v>0.83991784925400692</v>
      </c>
      <c r="P34" s="25">
        <f t="shared" ca="1" si="35"/>
        <v>0.42065282492309275</v>
      </c>
      <c r="Q34" s="25">
        <f t="shared" ca="1" si="35"/>
        <v>0.27858311209933784</v>
      </c>
      <c r="R34" s="25">
        <f t="shared" ca="1" si="35"/>
        <v>9.7319607039074274E-2</v>
      </c>
      <c r="S34" s="25">
        <f t="shared" ca="1" si="35"/>
        <v>9.0462248685876157E-2</v>
      </c>
      <c r="T34" s="25">
        <f t="shared" ca="1" si="35"/>
        <v>8.4616862042486529E-2</v>
      </c>
      <c r="U34" s="25">
        <f t="shared" ca="1" si="35"/>
        <v>7.9575749099828785E-2</v>
      </c>
      <c r="V34" s="25">
        <f t="shared" ca="1" si="35"/>
        <v>7.518440845814145E-2</v>
      </c>
      <c r="X34" s="14">
        <f t="shared" ca="1" si="13"/>
        <v>-0.12815685848419334</v>
      </c>
      <c r="Y34" s="14">
        <f t="shared" ca="1" si="13"/>
        <v>-4.2901340031426418</v>
      </c>
      <c r="Z34" s="14">
        <f t="shared" ca="1" si="13"/>
        <v>1.6364733933155118</v>
      </c>
      <c r="AA34" s="14">
        <f t="shared" ca="1" si="13"/>
        <v>0.32983926828633292</v>
      </c>
      <c r="AD34" t="s">
        <v>68</v>
      </c>
      <c r="AE34" s="13">
        <f t="shared" ca="1" si="16"/>
        <v>100</v>
      </c>
      <c r="AF34" s="13">
        <v>100</v>
      </c>
      <c r="AG34" s="13"/>
    </row>
    <row r="35" spans="1:33" x14ac:dyDescent="0.35">
      <c r="W35" s="24"/>
      <c r="X35" s="14">
        <f t="shared" si="13"/>
        <v>0</v>
      </c>
      <c r="Y35" s="14">
        <f t="shared" si="13"/>
        <v>0</v>
      </c>
      <c r="Z35" s="14">
        <f t="shared" si="13"/>
        <v>0</v>
      </c>
      <c r="AA35" s="14">
        <f t="shared" si="13"/>
        <v>0</v>
      </c>
      <c r="AD35" t="s">
        <v>69</v>
      </c>
      <c r="AE35" s="13">
        <f t="shared" ca="1" si="16"/>
        <v>3.7548076923076925</v>
      </c>
      <c r="AF35" s="13">
        <f>1562/AF$1/4</f>
        <v>3.7548076923076925</v>
      </c>
      <c r="AG35" s="13"/>
    </row>
    <row r="36" spans="1:33" x14ac:dyDescent="0.35">
      <c r="B36" t="s">
        <v>42</v>
      </c>
      <c r="C36" s="23">
        <f>-570</f>
        <v>-570</v>
      </c>
      <c r="D36" s="23">
        <f>-577</f>
        <v>-577</v>
      </c>
      <c r="E36" s="23">
        <f>-551</f>
        <v>-551</v>
      </c>
      <c r="F36" s="24">
        <f t="shared" ref="F36:V36" ca="1" si="36">-$AE$43*F10</f>
        <v>-109.61538461538461</v>
      </c>
      <c r="G36" s="24">
        <f t="shared" ca="1" si="36"/>
        <v>-109.61538461538461</v>
      </c>
      <c r="H36" s="24">
        <f t="shared" ca="1" si="36"/>
        <v>-109.61538461538461</v>
      </c>
      <c r="I36" s="24">
        <f t="shared" ca="1" si="36"/>
        <v>-164.42307692307693</v>
      </c>
      <c r="J36" s="24">
        <f t="shared" ca="1" si="36"/>
        <v>-219.23076923076923</v>
      </c>
      <c r="K36" s="24">
        <f t="shared" ca="1" si="36"/>
        <v>-274.03846153846155</v>
      </c>
      <c r="L36" s="24">
        <f t="shared" ca="1" si="36"/>
        <v>-328.84615384615387</v>
      </c>
      <c r="M36" s="24">
        <f t="shared" ca="1" si="36"/>
        <v>-383.65384615384613</v>
      </c>
      <c r="N36" s="24">
        <f t="shared" ca="1" si="36"/>
        <v>-438.46153846153845</v>
      </c>
      <c r="O36" s="24">
        <f t="shared" ca="1" si="36"/>
        <v>-493.26923076923077</v>
      </c>
      <c r="P36" s="24">
        <f t="shared" ca="1" si="36"/>
        <v>-548.07692307692309</v>
      </c>
      <c r="Q36" s="24">
        <f t="shared" ca="1" si="36"/>
        <v>-570</v>
      </c>
      <c r="R36" s="24">
        <f t="shared" ca="1" si="36"/>
        <v>-570</v>
      </c>
      <c r="S36" s="24">
        <f t="shared" ca="1" si="36"/>
        <v>-570</v>
      </c>
      <c r="T36" s="24">
        <f t="shared" ca="1" si="36"/>
        <v>-570</v>
      </c>
      <c r="U36" s="24">
        <f t="shared" ca="1" si="36"/>
        <v>-570</v>
      </c>
      <c r="V36" s="24">
        <f t="shared" ca="1" si="36"/>
        <v>-570</v>
      </c>
      <c r="X36" s="14">
        <f t="shared" ca="1" si="13"/>
        <v>-602.88461538461547</v>
      </c>
      <c r="Y36" s="14">
        <f t="shared" ca="1" si="13"/>
        <v>-1425</v>
      </c>
      <c r="Z36" s="14">
        <f t="shared" ca="1" si="13"/>
        <v>-2181.3461538461538</v>
      </c>
      <c r="AA36" s="14">
        <f t="shared" ca="1" si="13"/>
        <v>-2280</v>
      </c>
      <c r="AD36" t="s">
        <v>70</v>
      </c>
      <c r="AE36" s="13">
        <f t="shared" ca="1" si="16"/>
        <v>10</v>
      </c>
      <c r="AF36" s="13">
        <v>10</v>
      </c>
      <c r="AG36" s="13"/>
    </row>
    <row r="37" spans="1:33" x14ac:dyDescent="0.35">
      <c r="X37" s="14">
        <f t="shared" si="13"/>
        <v>0</v>
      </c>
      <c r="Y37" s="14">
        <f t="shared" si="13"/>
        <v>0</v>
      </c>
      <c r="Z37" s="14">
        <f t="shared" si="13"/>
        <v>0</v>
      </c>
      <c r="AA37" s="14">
        <f t="shared" si="13"/>
        <v>0</v>
      </c>
      <c r="AD37" t="s">
        <v>72</v>
      </c>
      <c r="AE37" s="13">
        <f t="shared" ca="1" si="16"/>
        <v>2.6033653846153846</v>
      </c>
      <c r="AF37" s="13">
        <f>1083/AF1/4</f>
        <v>2.6033653846153846</v>
      </c>
      <c r="AG37" s="13"/>
    </row>
    <row r="38" spans="1:33" x14ac:dyDescent="0.35">
      <c r="A38" t="s">
        <v>0</v>
      </c>
      <c r="B38" s="4" t="s">
        <v>41</v>
      </c>
      <c r="W38" s="51"/>
      <c r="X38" s="14">
        <f t="shared" si="13"/>
        <v>0</v>
      </c>
      <c r="Y38" s="14">
        <f t="shared" si="13"/>
        <v>0</v>
      </c>
      <c r="Z38" s="14">
        <f t="shared" si="13"/>
        <v>0</v>
      </c>
      <c r="AA38" s="14">
        <f t="shared" si="13"/>
        <v>0</v>
      </c>
      <c r="AC38" t="s">
        <v>98</v>
      </c>
      <c r="AD38" t="s">
        <v>71</v>
      </c>
      <c r="AE38" s="13">
        <f t="shared" ca="1" si="16"/>
        <v>0</v>
      </c>
      <c r="AF38" s="13">
        <v>0</v>
      </c>
      <c r="AG38" s="13"/>
    </row>
    <row r="39" spans="1:33" x14ac:dyDescent="0.35">
      <c r="B39" s="19" t="s">
        <v>38</v>
      </c>
      <c r="C39" s="28">
        <f>C32</f>
        <v>600</v>
      </c>
      <c r="D39" s="28">
        <f t="shared" ref="D39:F39" si="37">D32</f>
        <v>-2237</v>
      </c>
      <c r="E39" s="28">
        <f t="shared" si="37"/>
        <v>-1783</v>
      </c>
      <c r="F39" s="28">
        <f t="shared" ca="1" si="37"/>
        <v>-940</v>
      </c>
      <c r="G39" s="28">
        <f t="shared" ref="G39:V39" ca="1" si="38">G32</f>
        <v>-940</v>
      </c>
      <c r="H39" s="28">
        <f t="shared" ca="1" si="38"/>
        <v>-717.8357507692308</v>
      </c>
      <c r="I39" s="28">
        <f t="shared" ca="1" si="38"/>
        <v>-783.89797687384612</v>
      </c>
      <c r="J39" s="28">
        <f t="shared" ca="1" si="38"/>
        <v>-796.56448524406153</v>
      </c>
      <c r="K39" s="28">
        <f t="shared" ca="1" si="38"/>
        <v>-733.17548970387691</v>
      </c>
      <c r="L39" s="28">
        <f t="shared" ca="1" si="38"/>
        <v>-385.11632684887104</v>
      </c>
      <c r="M39" s="28">
        <f t="shared" ca="1" si="38"/>
        <v>-117.77455066831135</v>
      </c>
      <c r="N39" s="28">
        <f t="shared" ca="1" si="38"/>
        <v>240.45361399168996</v>
      </c>
      <c r="O39" s="28">
        <f t="shared" ca="1" si="38"/>
        <v>442.41489630094338</v>
      </c>
      <c r="P39" s="28">
        <f t="shared" ca="1" si="38"/>
        <v>628.51797221799234</v>
      </c>
      <c r="Q39" s="28">
        <f t="shared" ca="1" si="38"/>
        <v>803.61246492884584</v>
      </c>
      <c r="R39" s="28">
        <f t="shared" ca="1" si="38"/>
        <v>881.81971422742299</v>
      </c>
      <c r="S39" s="28">
        <f t="shared" ca="1" si="38"/>
        <v>961.59110851197238</v>
      </c>
      <c r="T39" s="28">
        <f t="shared" ca="1" si="38"/>
        <v>1042.9579306822116</v>
      </c>
      <c r="U39" s="28">
        <f t="shared" ca="1" si="38"/>
        <v>1125.9520892958558</v>
      </c>
      <c r="V39" s="28">
        <f t="shared" ca="1" si="38"/>
        <v>1210.6061310817731</v>
      </c>
      <c r="W39" s="14"/>
      <c r="X39" s="14">
        <f t="shared" ca="1" si="13"/>
        <v>-3238.2982128871386</v>
      </c>
      <c r="Y39" s="14">
        <f t="shared" ca="1" si="13"/>
        <v>-995.61275322936945</v>
      </c>
      <c r="Z39" s="14">
        <f t="shared" ca="1" si="13"/>
        <v>2756.3650476752046</v>
      </c>
      <c r="AA39" s="14">
        <f t="shared" ca="1" si="13"/>
        <v>4341.1072595718124</v>
      </c>
      <c r="AD39" t="s">
        <v>143</v>
      </c>
      <c r="AE39" s="13">
        <f t="shared" ca="1" si="16"/>
        <v>200</v>
      </c>
      <c r="AF39" s="13">
        <v>200</v>
      </c>
      <c r="AG39" s="13"/>
    </row>
    <row r="40" spans="1:33" x14ac:dyDescent="0.35">
      <c r="B40" t="s">
        <v>43</v>
      </c>
      <c r="C40" s="14">
        <f t="shared" ref="C40:V40" ca="1" si="39">-MAX(0,SUM(C39,C36)*$AE$44)</f>
        <v>-3.5999999999999996</v>
      </c>
      <c r="D40" s="14">
        <f t="shared" ca="1" si="39"/>
        <v>0</v>
      </c>
      <c r="E40" s="14">
        <f t="shared" ca="1" si="39"/>
        <v>0</v>
      </c>
      <c r="F40" s="14">
        <f t="shared" ca="1" si="39"/>
        <v>0</v>
      </c>
      <c r="G40" s="14">
        <f t="shared" ca="1" si="39"/>
        <v>0</v>
      </c>
      <c r="H40" s="14">
        <f t="shared" ca="1" si="39"/>
        <v>0</v>
      </c>
      <c r="I40" s="14">
        <f t="shared" ca="1" si="39"/>
        <v>0</v>
      </c>
      <c r="J40" s="14">
        <f t="shared" ca="1" si="39"/>
        <v>0</v>
      </c>
      <c r="K40" s="14">
        <f t="shared" ca="1" si="39"/>
        <v>0</v>
      </c>
      <c r="L40" s="14">
        <f t="shared" ca="1" si="39"/>
        <v>0</v>
      </c>
      <c r="M40" s="14">
        <f t="shared" ca="1" si="39"/>
        <v>0</v>
      </c>
      <c r="N40" s="14">
        <f t="shared" ca="1" si="39"/>
        <v>0</v>
      </c>
      <c r="O40" s="14">
        <f t="shared" ca="1" si="39"/>
        <v>0</v>
      </c>
      <c r="P40" s="14">
        <f t="shared" ca="1" si="39"/>
        <v>-9.6529258969283092</v>
      </c>
      <c r="Q40" s="14">
        <f t="shared" ca="1" si="39"/>
        <v>-28.033495791461501</v>
      </c>
      <c r="R40" s="14">
        <f t="shared" ca="1" si="39"/>
        <v>-37.418365707290761</v>
      </c>
      <c r="S40" s="14">
        <f t="shared" ca="1" si="39"/>
        <v>-46.990933021436682</v>
      </c>
      <c r="T40" s="14">
        <f t="shared" ca="1" si="39"/>
        <v>-56.754951681865386</v>
      </c>
      <c r="U40" s="14">
        <f t="shared" ca="1" si="39"/>
        <v>-66.714250715502686</v>
      </c>
      <c r="V40" s="14">
        <f t="shared" ca="1" si="39"/>
        <v>-76.872735729812774</v>
      </c>
      <c r="W40" s="24"/>
      <c r="X40" s="14">
        <f t="shared" ca="1" si="13"/>
        <v>0</v>
      </c>
      <c r="Y40" s="14">
        <f t="shared" ca="1" si="13"/>
        <v>0</v>
      </c>
      <c r="Z40" s="14">
        <f t="shared" ca="1" si="13"/>
        <v>-75.104787395680574</v>
      </c>
      <c r="AA40" s="14">
        <f t="shared" ca="1" si="13"/>
        <v>-247.33287114861753</v>
      </c>
      <c r="AD40" t="s">
        <v>73</v>
      </c>
      <c r="AE40" s="13">
        <f t="shared" ca="1" si="16"/>
        <v>7.03125</v>
      </c>
      <c r="AF40" s="13">
        <f>2925/AF1/4</f>
        <v>7.03125</v>
      </c>
      <c r="AG40" s="13"/>
    </row>
    <row r="41" spans="1:33" x14ac:dyDescent="0.35">
      <c r="B41" t="s">
        <v>44</v>
      </c>
      <c r="F41" s="24">
        <f ca="1">-86*$AE$45</f>
        <v>-351.44230769230768</v>
      </c>
      <c r="G41" s="24">
        <f t="shared" ref="G41:V41" ca="1" si="40">-86*$AE$45</f>
        <v>-351.44230769230768</v>
      </c>
      <c r="H41" s="24">
        <f t="shared" ca="1" si="40"/>
        <v>-351.44230769230768</v>
      </c>
      <c r="I41" s="24">
        <f t="shared" ca="1" si="40"/>
        <v>-351.44230769230768</v>
      </c>
      <c r="J41" s="24">
        <f t="shared" ca="1" si="40"/>
        <v>-351.44230769230768</v>
      </c>
      <c r="K41" s="24">
        <f t="shared" ca="1" si="40"/>
        <v>-351.44230769230768</v>
      </c>
      <c r="L41" s="24">
        <f t="shared" ca="1" si="40"/>
        <v>-351.44230769230768</v>
      </c>
      <c r="M41" s="24">
        <f t="shared" ca="1" si="40"/>
        <v>-351.44230769230768</v>
      </c>
      <c r="N41" s="24">
        <f t="shared" ca="1" si="40"/>
        <v>-351.44230769230768</v>
      </c>
      <c r="O41" s="24">
        <f t="shared" ca="1" si="40"/>
        <v>-351.44230769230768</v>
      </c>
      <c r="P41" s="24">
        <f t="shared" ca="1" si="40"/>
        <v>-351.44230769230768</v>
      </c>
      <c r="Q41" s="24">
        <f t="shared" ca="1" si="40"/>
        <v>-351.44230769230768</v>
      </c>
      <c r="R41" s="24">
        <f t="shared" ca="1" si="40"/>
        <v>-351.44230769230768</v>
      </c>
      <c r="S41" s="24">
        <f t="shared" ca="1" si="40"/>
        <v>-351.44230769230768</v>
      </c>
      <c r="T41" s="24">
        <f t="shared" ca="1" si="40"/>
        <v>-351.44230769230768</v>
      </c>
      <c r="U41" s="24">
        <f t="shared" ca="1" si="40"/>
        <v>-351.44230769230768</v>
      </c>
      <c r="V41" s="24">
        <f t="shared" ca="1" si="40"/>
        <v>-351.44230769230768</v>
      </c>
      <c r="W41" s="38"/>
      <c r="X41" s="14">
        <f t="shared" ca="1" si="13"/>
        <v>-1405.7692307692307</v>
      </c>
      <c r="Y41" s="14">
        <f t="shared" ca="1" si="13"/>
        <v>-1405.7692307692307</v>
      </c>
      <c r="Z41" s="14">
        <f t="shared" ca="1" si="13"/>
        <v>-1405.7692307692307</v>
      </c>
      <c r="AA41" s="14">
        <f t="shared" ca="1" si="13"/>
        <v>-1405.7692307692307</v>
      </c>
      <c r="AD41" t="s">
        <v>74</v>
      </c>
      <c r="AE41" s="13">
        <f t="shared" ca="1" si="16"/>
        <v>200</v>
      </c>
      <c r="AF41" s="24">
        <f>200</f>
        <v>200</v>
      </c>
      <c r="AG41" s="24"/>
    </row>
    <row r="42" spans="1:33" x14ac:dyDescent="0.35">
      <c r="B42" t="s">
        <v>45</v>
      </c>
      <c r="F42" s="55" t="s">
        <v>97</v>
      </c>
      <c r="G42" s="55" t="s">
        <v>97</v>
      </c>
      <c r="H42" s="55" t="s">
        <v>97</v>
      </c>
      <c r="I42" s="55" t="s">
        <v>97</v>
      </c>
      <c r="J42" s="55" t="s">
        <v>97</v>
      </c>
      <c r="K42" s="55" t="s">
        <v>97</v>
      </c>
      <c r="L42" s="55" t="s">
        <v>97</v>
      </c>
      <c r="M42" s="55" t="s">
        <v>97</v>
      </c>
      <c r="N42" s="55" t="s">
        <v>97</v>
      </c>
      <c r="O42" s="55" t="s">
        <v>97</v>
      </c>
      <c r="P42" s="55" t="s">
        <v>97</v>
      </c>
      <c r="Q42" s="55" t="s">
        <v>97</v>
      </c>
      <c r="R42" s="55" t="s">
        <v>97</v>
      </c>
      <c r="S42" s="55" t="s">
        <v>97</v>
      </c>
      <c r="T42" s="55" t="s">
        <v>97</v>
      </c>
      <c r="U42" s="55" t="s">
        <v>97</v>
      </c>
      <c r="V42" s="55" t="s">
        <v>97</v>
      </c>
      <c r="X42" s="14">
        <f t="shared" si="13"/>
        <v>0</v>
      </c>
      <c r="Y42" s="14">
        <f t="shared" si="13"/>
        <v>0</v>
      </c>
      <c r="Z42" s="14">
        <f t="shared" si="13"/>
        <v>0</v>
      </c>
      <c r="AA42" s="14">
        <f t="shared" si="13"/>
        <v>0</v>
      </c>
      <c r="AD42" t="s">
        <v>75</v>
      </c>
      <c r="AE42" s="13">
        <f t="shared" ca="1" si="16"/>
        <v>5.9615384615384617</v>
      </c>
      <c r="AF42" s="13">
        <f>2480/AF1/4</f>
        <v>5.9615384615384617</v>
      </c>
      <c r="AG42" s="13"/>
    </row>
    <row r="43" spans="1:33" x14ac:dyDescent="0.35">
      <c r="B43" t="s">
        <v>46</v>
      </c>
      <c r="W43" s="51"/>
      <c r="X43" s="14">
        <f t="shared" si="13"/>
        <v>0</v>
      </c>
      <c r="Y43" s="14">
        <f t="shared" si="13"/>
        <v>0</v>
      </c>
      <c r="Z43" s="14">
        <f t="shared" si="13"/>
        <v>0</v>
      </c>
      <c r="AA43" s="14">
        <f t="shared" si="13"/>
        <v>0</v>
      </c>
      <c r="AD43" t="s">
        <v>76</v>
      </c>
      <c r="AE43" s="13">
        <f t="shared" ca="1" si="16"/>
        <v>5.4807692307692308</v>
      </c>
      <c r="AF43" s="13">
        <f>-C36/AF1</f>
        <v>5.4807692307692308</v>
      </c>
      <c r="AG43" s="13"/>
    </row>
    <row r="44" spans="1:33" x14ac:dyDescent="0.35">
      <c r="B44" s="58" t="s">
        <v>47</v>
      </c>
      <c r="C44" s="58"/>
      <c r="D44" s="58"/>
      <c r="E44" s="58"/>
      <c r="F44" s="63">
        <f ca="1">SUM(F39:F43)</f>
        <v>-1291.4423076923076</v>
      </c>
      <c r="G44" s="63">
        <f t="shared" ref="G44:V44" ca="1" si="41">SUM(G39:G43)</f>
        <v>-1291.4423076923076</v>
      </c>
      <c r="H44" s="63">
        <f t="shared" ca="1" si="41"/>
        <v>-1069.2780584615384</v>
      </c>
      <c r="I44" s="63">
        <f t="shared" ca="1" si="41"/>
        <v>-1135.3402845661537</v>
      </c>
      <c r="J44" s="63">
        <f t="shared" ca="1" si="41"/>
        <v>-1148.0067929363693</v>
      </c>
      <c r="K44" s="63">
        <f t="shared" ca="1" si="41"/>
        <v>-1084.6177973961846</v>
      </c>
      <c r="L44" s="63">
        <f t="shared" ca="1" si="41"/>
        <v>-736.55863454117866</v>
      </c>
      <c r="M44" s="63">
        <f t="shared" ca="1" si="41"/>
        <v>-469.21685836061903</v>
      </c>
      <c r="N44" s="63">
        <f t="shared" ca="1" si="41"/>
        <v>-110.98869370061772</v>
      </c>
      <c r="O44" s="63">
        <f t="shared" ca="1" si="41"/>
        <v>90.972588608635704</v>
      </c>
      <c r="P44" s="63">
        <f t="shared" ca="1" si="41"/>
        <v>267.42273862875635</v>
      </c>
      <c r="Q44" s="63">
        <f t="shared" ca="1" si="41"/>
        <v>424.13666144507664</v>
      </c>
      <c r="R44" s="63">
        <f t="shared" ca="1" si="41"/>
        <v>492.95904082782459</v>
      </c>
      <c r="S44" s="63">
        <f t="shared" ca="1" si="41"/>
        <v>563.15786779822793</v>
      </c>
      <c r="T44" s="63">
        <f t="shared" ca="1" si="41"/>
        <v>634.76067130803858</v>
      </c>
      <c r="U44" s="63">
        <f t="shared" ca="1" si="41"/>
        <v>707.7955308880455</v>
      </c>
      <c r="V44" s="63">
        <f t="shared" ca="1" si="41"/>
        <v>782.2910876596527</v>
      </c>
      <c r="X44" s="14">
        <f t="shared" ca="1" si="13"/>
        <v>-4644.0674436563695</v>
      </c>
      <c r="Y44" s="14">
        <f t="shared" ca="1" si="13"/>
        <v>-2401.3819839985999</v>
      </c>
      <c r="Z44" s="14">
        <f t="shared" ca="1" si="13"/>
        <v>1275.4910295102932</v>
      </c>
      <c r="AA44" s="14">
        <f t="shared" ca="1" si="13"/>
        <v>2688.0051576539645</v>
      </c>
      <c r="AD44" t="s">
        <v>77</v>
      </c>
      <c r="AE44" s="13">
        <f t="shared" ca="1" si="16"/>
        <v>0.12</v>
      </c>
      <c r="AF44" s="11">
        <v>0.12</v>
      </c>
      <c r="AG44" s="11"/>
    </row>
    <row r="45" spans="1:33" x14ac:dyDescent="0.35">
      <c r="B45" t="s">
        <v>83</v>
      </c>
      <c r="F45" s="37">
        <f ca="1">-F58*$AE$44</f>
        <v>-45.753156318872954</v>
      </c>
      <c r="G45" s="37">
        <f t="shared" ref="G45:V45" ca="1" si="42">-G58*$AE$44</f>
        <v>-46.345472171576766</v>
      </c>
      <c r="H45" s="37">
        <f t="shared" ca="1" si="42"/>
        <v>-46.954425646136784</v>
      </c>
      <c r="I45" s="37">
        <f t="shared" ca="1" si="42"/>
        <v>-47.580485662841895</v>
      </c>
      <c r="J45" s="37">
        <f t="shared" ca="1" si="42"/>
        <v>-48.224134400145431</v>
      </c>
      <c r="K45" s="37">
        <f t="shared" ca="1" si="42"/>
        <v>-48.885867670632095</v>
      </c>
      <c r="L45" s="37">
        <f t="shared" ca="1" si="42"/>
        <v>-49.566195307675521</v>
      </c>
      <c r="M45" s="37">
        <f t="shared" ca="1" si="42"/>
        <v>-50.265641563091179</v>
      </c>
      <c r="N45" s="37">
        <f t="shared" ca="1" si="42"/>
        <v>-50.984745516098144</v>
      </c>
      <c r="O45" s="37">
        <f t="shared" ca="1" si="42"/>
        <v>-51.724061493912181</v>
      </c>
      <c r="P45" s="37">
        <f t="shared" ca="1" si="42"/>
        <v>-52.484159504301594</v>
      </c>
      <c r="Q45" s="37">
        <f t="shared" ca="1" si="42"/>
        <v>-53.265625680447251</v>
      </c>
      <c r="R45" s="37">
        <f t="shared" ca="1" si="42"/>
        <v>-54.069062738457333</v>
      </c>
      <c r="S45" s="37">
        <f t="shared" ca="1" si="42"/>
        <v>-76.729842349368909</v>
      </c>
      <c r="T45" s="37">
        <f t="shared" ca="1" si="42"/>
        <v>-76.985595919121664</v>
      </c>
      <c r="U45" s="37">
        <f t="shared" ca="1" si="42"/>
        <v>-77.247920743269418</v>
      </c>
      <c r="V45" s="37">
        <f t="shared" ca="1" si="42"/>
        <v>-77.516985730309472</v>
      </c>
      <c r="X45" s="14">
        <f t="shared" ca="1" si="13"/>
        <v>-189.10451788070088</v>
      </c>
      <c r="Y45" s="14">
        <f t="shared" ca="1" si="13"/>
        <v>-199.70245005749695</v>
      </c>
      <c r="Z45" s="14">
        <f t="shared" ca="1" si="13"/>
        <v>-211.54290941711838</v>
      </c>
      <c r="AA45" s="14">
        <f t="shared" ca="1" si="13"/>
        <v>-308.48034474206946</v>
      </c>
      <c r="AD45" t="s">
        <v>44</v>
      </c>
      <c r="AE45" s="13">
        <f t="shared" ca="1" si="16"/>
        <v>4.0865384615384617</v>
      </c>
      <c r="AF45" s="13">
        <f>1700/4/$AF$1</f>
        <v>4.0865384615384617</v>
      </c>
      <c r="AG45" s="13"/>
    </row>
    <row r="46" spans="1:33" x14ac:dyDescent="0.35">
      <c r="B46" t="s">
        <v>82</v>
      </c>
      <c r="W46" s="51"/>
      <c r="X46" s="14">
        <f t="shared" si="13"/>
        <v>0</v>
      </c>
      <c r="Y46" s="14">
        <f t="shared" si="13"/>
        <v>0</v>
      </c>
      <c r="Z46" s="14">
        <f t="shared" si="13"/>
        <v>0</v>
      </c>
      <c r="AA46" s="14">
        <f t="shared" si="13"/>
        <v>0</v>
      </c>
      <c r="AD46" t="s">
        <v>45</v>
      </c>
      <c r="AE46" s="13">
        <f t="shared" ca="1" si="16"/>
        <v>0</v>
      </c>
    </row>
    <row r="47" spans="1:33" x14ac:dyDescent="0.35">
      <c r="B47" s="58" t="s">
        <v>84</v>
      </c>
      <c r="C47" s="58"/>
      <c r="D47" s="58"/>
      <c r="E47" s="58"/>
      <c r="F47" s="63">
        <f ca="1">SUM(F44:F46)</f>
        <v>-1337.1954640111805</v>
      </c>
      <c r="G47" s="63">
        <f t="shared" ref="G47:V47" ca="1" si="43">SUM(G44:G46)</f>
        <v>-1337.7877798638845</v>
      </c>
      <c r="H47" s="63">
        <f t="shared" ca="1" si="43"/>
        <v>-1116.2324841076752</v>
      </c>
      <c r="I47" s="63">
        <f t="shared" ca="1" si="43"/>
        <v>-1182.9207702289957</v>
      </c>
      <c r="J47" s="63">
        <f t="shared" ca="1" si="43"/>
        <v>-1196.2309273365147</v>
      </c>
      <c r="K47" s="63">
        <f t="shared" ca="1" si="43"/>
        <v>-1133.5036650668167</v>
      </c>
      <c r="L47" s="63">
        <f t="shared" ca="1" si="43"/>
        <v>-786.12482984885423</v>
      </c>
      <c r="M47" s="63">
        <f t="shared" ca="1" si="43"/>
        <v>-519.48249992371018</v>
      </c>
      <c r="N47" s="63">
        <f t="shared" ca="1" si="43"/>
        <v>-161.97343921671586</v>
      </c>
      <c r="O47" s="63">
        <f t="shared" ca="1" si="43"/>
        <v>39.248527114723522</v>
      </c>
      <c r="P47" s="63">
        <f t="shared" ca="1" si="43"/>
        <v>214.93857912445475</v>
      </c>
      <c r="Q47" s="63">
        <f t="shared" ca="1" si="43"/>
        <v>370.87103576462937</v>
      </c>
      <c r="R47" s="63">
        <f t="shared" ca="1" si="43"/>
        <v>438.88997808936728</v>
      </c>
      <c r="S47" s="63">
        <f t="shared" ca="1" si="43"/>
        <v>486.42802544885899</v>
      </c>
      <c r="T47" s="63">
        <f t="shared" ca="1" si="43"/>
        <v>557.77507538891689</v>
      </c>
      <c r="U47" s="63">
        <f t="shared" ca="1" si="43"/>
        <v>630.54761014477606</v>
      </c>
      <c r="V47" s="63">
        <f t="shared" ca="1" si="43"/>
        <v>704.77410192934326</v>
      </c>
      <c r="AD47" t="s">
        <v>79</v>
      </c>
      <c r="AE47" s="13">
        <f t="shared" ca="1" si="16"/>
        <v>4000</v>
      </c>
      <c r="AF47">
        <v>4000</v>
      </c>
    </row>
    <row r="48" spans="1:33" x14ac:dyDescent="0.35">
      <c r="AD48" t="s">
        <v>80</v>
      </c>
      <c r="AE48" s="13">
        <f t="shared" ca="1" si="16"/>
        <v>0.8</v>
      </c>
      <c r="AF48" s="11">
        <v>0.8</v>
      </c>
      <c r="AG48" s="11"/>
    </row>
    <row r="49" spans="1:33" ht="16" x14ac:dyDescent="0.5">
      <c r="W49" s="65" t="s">
        <v>25</v>
      </c>
      <c r="X49" s="75">
        <v>44561</v>
      </c>
      <c r="Y49" s="75">
        <f>X49+365</f>
        <v>44926</v>
      </c>
      <c r="Z49" s="75">
        <f t="shared" ref="Z49:AA49" si="44">Y49+365</f>
        <v>45291</v>
      </c>
      <c r="AA49" s="75">
        <f t="shared" si="44"/>
        <v>45656</v>
      </c>
      <c r="AD49" t="s">
        <v>81</v>
      </c>
      <c r="AE49" s="52">
        <f t="shared" ca="1" si="16"/>
        <v>7.0000000000000007E-2</v>
      </c>
      <c r="AF49" s="11">
        <v>7.0000000000000007E-2</v>
      </c>
      <c r="AG49" s="11"/>
    </row>
    <row r="50" spans="1:33" x14ac:dyDescent="0.35">
      <c r="F50" s="14"/>
      <c r="W50" t="s">
        <v>38</v>
      </c>
      <c r="X50" s="24">
        <f ca="1">X32</f>
        <v>-3238.2982128871386</v>
      </c>
      <c r="Y50" s="24">
        <f ca="1">Y32</f>
        <v>-995.61275322936945</v>
      </c>
      <c r="Z50" s="24">
        <f ca="1">Z32</f>
        <v>2756.3650476752046</v>
      </c>
      <c r="AA50" s="24">
        <f ca="1">AA32</f>
        <v>4341.1072595718124</v>
      </c>
      <c r="AC50" s="18"/>
      <c r="AD50" s="18" t="s">
        <v>120</v>
      </c>
      <c r="AE50" s="52">
        <f t="shared" ca="1" si="16"/>
        <v>5</v>
      </c>
      <c r="AF50" s="18">
        <v>5</v>
      </c>
      <c r="AG50" s="18"/>
    </row>
    <row r="51" spans="1:33" x14ac:dyDescent="0.35">
      <c r="F51" s="24"/>
      <c r="W51" t="s">
        <v>124</v>
      </c>
      <c r="X51" s="37">
        <f ca="1">$AE$83</f>
        <v>10</v>
      </c>
      <c r="Y51" s="37">
        <f t="shared" ref="Y51:AA51" ca="1" si="45">$AE$83</f>
        <v>10</v>
      </c>
      <c r="Z51" s="37">
        <f t="shared" ca="1" si="45"/>
        <v>10</v>
      </c>
      <c r="AA51" s="37">
        <f t="shared" ca="1" si="45"/>
        <v>10</v>
      </c>
      <c r="AD51" t="s">
        <v>116</v>
      </c>
      <c r="AE51" s="6">
        <f t="shared" ca="1" si="16"/>
        <v>2000</v>
      </c>
      <c r="AF51">
        <v>2000</v>
      </c>
    </row>
    <row r="52" spans="1:33" x14ac:dyDescent="0.35">
      <c r="W52" s="8" t="s">
        <v>138</v>
      </c>
      <c r="X52" s="15">
        <f ca="1">X50*X51</f>
        <v>-32382.982128871387</v>
      </c>
      <c r="Y52" s="15">
        <f t="shared" ref="Y52:AA52" ca="1" si="46">Y50*Y51</f>
        <v>-9956.1275322936945</v>
      </c>
      <c r="Z52" s="15">
        <f t="shared" ca="1" si="46"/>
        <v>27563.650476752046</v>
      </c>
      <c r="AA52" s="15">
        <f t="shared" ca="1" si="46"/>
        <v>43411.072595718128</v>
      </c>
    </row>
    <row r="53" spans="1:33" x14ac:dyDescent="0.35">
      <c r="A53" t="s">
        <v>0</v>
      </c>
      <c r="B53" s="1" t="s">
        <v>85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4" t="s">
        <v>125</v>
      </c>
      <c r="X53" s="24">
        <f ca="1">-I59+I71</f>
        <v>-16611.782456740882</v>
      </c>
      <c r="Y53" s="24">
        <f ca="1">-N59+N71</f>
        <v>-22227.226104156205</v>
      </c>
      <c r="Z53" s="24">
        <f ca="1">-R59+R71</f>
        <v>-22714.592653121897</v>
      </c>
      <c r="AA53" s="24">
        <f ca="1">-V59+V71</f>
        <v>-22597.257034985181</v>
      </c>
      <c r="AC53" t="s">
        <v>8</v>
      </c>
      <c r="AD53" s="6" t="s">
        <v>96</v>
      </c>
      <c r="AE53" s="45">
        <f t="shared" ref="AE53:AE83" ca="1" si="47">OFFSET(AE53,,$AE$6)</f>
        <v>3000</v>
      </c>
      <c r="AF53" s="6">
        <v>3000</v>
      </c>
      <c r="AG53" s="6"/>
    </row>
    <row r="54" spans="1:33" x14ac:dyDescent="0.35">
      <c r="F54" s="2">
        <f t="shared" ref="F54" si="48">YEAR(F55)</f>
        <v>2020</v>
      </c>
      <c r="G54" s="2">
        <f t="shared" ref="G54" si="49">YEAR(G55)</f>
        <v>2021</v>
      </c>
      <c r="H54" s="2">
        <f t="shared" ref="H54" si="50">YEAR(H55)</f>
        <v>2021</v>
      </c>
      <c r="I54" s="2">
        <f t="shared" ref="I54" si="51">YEAR(I55)</f>
        <v>2021</v>
      </c>
      <c r="J54" s="2">
        <f t="shared" ref="J54" si="52">YEAR(J55)</f>
        <v>2021</v>
      </c>
      <c r="K54" s="2">
        <f t="shared" ref="K54" si="53">YEAR(K55)</f>
        <v>2022</v>
      </c>
      <c r="L54" s="2">
        <f t="shared" ref="L54" si="54">YEAR(L55)</f>
        <v>2022</v>
      </c>
      <c r="M54" s="2">
        <f t="shared" ref="M54" si="55">YEAR(M55)</f>
        <v>2022</v>
      </c>
      <c r="N54" s="2">
        <f t="shared" ref="N54" si="56">YEAR(N55)</f>
        <v>2022</v>
      </c>
      <c r="O54" s="2">
        <f t="shared" ref="O54" si="57">YEAR(O55)</f>
        <v>2023</v>
      </c>
      <c r="P54" s="2">
        <f t="shared" ref="P54" si="58">YEAR(P55)</f>
        <v>2023</v>
      </c>
      <c r="Q54" s="2">
        <f t="shared" ref="Q54" si="59">YEAR(Q55)</f>
        <v>2023</v>
      </c>
      <c r="R54" s="2">
        <f t="shared" ref="R54" si="60">YEAR(R55)</f>
        <v>2023</v>
      </c>
      <c r="S54" s="2">
        <f t="shared" ref="S54" si="61">YEAR(S55)</f>
        <v>2024</v>
      </c>
      <c r="T54" s="2">
        <f t="shared" ref="T54" si="62">YEAR(T55)</f>
        <v>2024</v>
      </c>
      <c r="U54" s="2">
        <f t="shared" ref="U54" si="63">YEAR(U55)</f>
        <v>2024</v>
      </c>
      <c r="V54" s="2">
        <f t="shared" ref="V54" si="64">YEAR(V55)</f>
        <v>2024</v>
      </c>
      <c r="W54" s="48" t="s">
        <v>126</v>
      </c>
      <c r="X54" s="48">
        <f ca="1">SUM(X52:X53)</f>
        <v>-48994.764585612269</v>
      </c>
      <c r="Y54" s="48">
        <f t="shared" ref="Y54:AA54" ca="1" si="65">SUM(Y52:Y53)</f>
        <v>-32183.353636449901</v>
      </c>
      <c r="Z54" s="48">
        <f t="shared" ca="1" si="65"/>
        <v>4849.0578236301481</v>
      </c>
      <c r="AA54" s="48">
        <f t="shared" ca="1" si="65"/>
        <v>20813.815560732946</v>
      </c>
      <c r="AD54" t="s">
        <v>2</v>
      </c>
      <c r="AE54" s="13">
        <f t="shared" ca="1" si="47"/>
        <v>0.03</v>
      </c>
      <c r="AF54" s="11">
        <v>0.03</v>
      </c>
      <c r="AG54" s="11"/>
    </row>
    <row r="55" spans="1:33" ht="16" x14ac:dyDescent="0.5">
      <c r="A55" t="s">
        <v>0</v>
      </c>
      <c r="B55" s="3" t="s">
        <v>25</v>
      </c>
      <c r="C55" s="17">
        <f t="shared" ref="C55" si="66">D55-365/4</f>
        <v>43891.5</v>
      </c>
      <c r="D55" s="17">
        <f>E55-365/4</f>
        <v>43982.75</v>
      </c>
      <c r="E55" s="17">
        <v>44074</v>
      </c>
      <c r="F55" s="17">
        <f>E55+365/4</f>
        <v>44165.25</v>
      </c>
      <c r="G55" s="17">
        <f t="shared" ref="G55:V55" si="67">F55+365/4</f>
        <v>44256.5</v>
      </c>
      <c r="H55" s="17">
        <f t="shared" si="67"/>
        <v>44347.75</v>
      </c>
      <c r="I55" s="17">
        <f t="shared" si="67"/>
        <v>44439</v>
      </c>
      <c r="J55" s="17">
        <f t="shared" si="67"/>
        <v>44530.25</v>
      </c>
      <c r="K55" s="17">
        <f t="shared" si="67"/>
        <v>44621.5</v>
      </c>
      <c r="L55" s="17">
        <f t="shared" si="67"/>
        <v>44712.75</v>
      </c>
      <c r="M55" s="17">
        <f t="shared" si="67"/>
        <v>44804</v>
      </c>
      <c r="N55" s="17">
        <f t="shared" si="67"/>
        <v>44895.25</v>
      </c>
      <c r="O55" s="17">
        <f t="shared" si="67"/>
        <v>44986.5</v>
      </c>
      <c r="P55" s="17">
        <f t="shared" si="67"/>
        <v>45077.75</v>
      </c>
      <c r="Q55" s="17">
        <f t="shared" si="67"/>
        <v>45169</v>
      </c>
      <c r="R55" s="17">
        <f t="shared" si="67"/>
        <v>45260.25</v>
      </c>
      <c r="S55" s="17">
        <f t="shared" si="67"/>
        <v>45351.5</v>
      </c>
      <c r="T55" s="17">
        <f t="shared" si="67"/>
        <v>45442.75</v>
      </c>
      <c r="U55" s="17">
        <f t="shared" si="67"/>
        <v>45534</v>
      </c>
      <c r="V55" s="17">
        <f t="shared" si="67"/>
        <v>45625.25</v>
      </c>
      <c r="W55" s="24" t="s">
        <v>127</v>
      </c>
      <c r="X55" s="24">
        <v>904</v>
      </c>
      <c r="Y55" s="24">
        <v>904</v>
      </c>
      <c r="Z55" s="24">
        <v>904</v>
      </c>
      <c r="AA55" s="24">
        <v>904</v>
      </c>
      <c r="AD55" t="s">
        <v>100</v>
      </c>
      <c r="AE55" s="13">
        <f t="shared" ca="1" si="47"/>
        <v>0</v>
      </c>
      <c r="AF55" s="11">
        <v>0</v>
      </c>
      <c r="AG55" s="11"/>
    </row>
    <row r="56" spans="1:33" x14ac:dyDescent="0.35">
      <c r="B56" t="s">
        <v>93</v>
      </c>
      <c r="F56" s="24">
        <f ca="1">-SUM(F83,F95,F107,F119,F131,F143,F156,F169,F181,F193)</f>
        <v>204.91875000000002</v>
      </c>
      <c r="G56" s="24">
        <f t="shared" ref="G56:I56" ca="1" si="68">-SUM(G83,G95,G107,G119,G131,G143,G156,G169,G181,G193)</f>
        <v>204.91875000000002</v>
      </c>
      <c r="H56" s="24">
        <f t="shared" ca="1" si="68"/>
        <v>204.91875000000002</v>
      </c>
      <c r="I56" s="24">
        <f t="shared" ca="1" si="68"/>
        <v>204.91875000000002</v>
      </c>
      <c r="J56" s="24">
        <f t="shared" ref="J56:V56" ca="1" si="69">-SUM(J83,J95,J107,J119,J131,J143,J156,J169,J181,J193)</f>
        <v>204.91875000000002</v>
      </c>
      <c r="K56" s="24">
        <f t="shared" ca="1" si="69"/>
        <v>204.91875000000002</v>
      </c>
      <c r="L56" s="24">
        <f t="shared" ca="1" si="69"/>
        <v>204.91875000000002</v>
      </c>
      <c r="M56" s="24">
        <f t="shared" ca="1" si="69"/>
        <v>204.91875000000002</v>
      </c>
      <c r="N56" s="24">
        <f t="shared" ca="1" si="69"/>
        <v>204.91875000000002</v>
      </c>
      <c r="O56" s="24">
        <f t="shared" ca="1" si="69"/>
        <v>204.91875000000002</v>
      </c>
      <c r="P56" s="24">
        <f t="shared" ca="1" si="69"/>
        <v>204.91875000000002</v>
      </c>
      <c r="Q56" s="24">
        <f t="shared" ca="1" si="69"/>
        <v>204.91875000000002</v>
      </c>
      <c r="R56" s="24">
        <f t="shared" ca="1" si="69"/>
        <v>204.91875000000002</v>
      </c>
      <c r="S56" s="24">
        <f t="shared" ca="1" si="69"/>
        <v>556.43168407753967</v>
      </c>
      <c r="T56" s="24">
        <f t="shared" ca="1" si="69"/>
        <v>556.43168407753967</v>
      </c>
      <c r="U56" s="24">
        <f t="shared" ca="1" si="69"/>
        <v>556.43168407753967</v>
      </c>
      <c r="V56" s="24">
        <f t="shared" ca="1" si="69"/>
        <v>556.43168407753967</v>
      </c>
      <c r="W56" s="73" t="s">
        <v>128</v>
      </c>
      <c r="X56" s="74" t="str">
        <f ca="1">IF(X54&gt;0,X54/X55,"N/A")</f>
        <v>N/A</v>
      </c>
      <c r="Y56" s="74" t="str">
        <f t="shared" ref="Y56" ca="1" si="70">IF(Y54&gt;0,Y54/Y55,"N/A")</f>
        <v>N/A</v>
      </c>
      <c r="Z56" s="74">
        <f ca="1">IF(Z54&gt;0,Z54/Z55,"N/A")</f>
        <v>5.3640020172899865</v>
      </c>
      <c r="AA56" s="74">
        <f ca="1">IF(AA54&gt;0,AA54/AA55,"N/A")</f>
        <v>23.024132257447949</v>
      </c>
      <c r="AC56" s="6" t="s">
        <v>99</v>
      </c>
      <c r="AD56" s="6" t="s">
        <v>96</v>
      </c>
      <c r="AE56" s="13">
        <f t="shared" ca="1" si="47"/>
        <v>900</v>
      </c>
      <c r="AF56" s="14">
        <v>900</v>
      </c>
      <c r="AG56" s="14"/>
    </row>
    <row r="57" spans="1:33" x14ac:dyDescent="0.35">
      <c r="B57" t="s">
        <v>94</v>
      </c>
      <c r="F57" s="24">
        <f ca="1">-SUM(F84,F96,F108,F120,F132,F144,F157,F170,F182,F194)</f>
        <v>176.35755265727465</v>
      </c>
      <c r="G57" s="24">
        <f t="shared" ref="G57:I57" ca="1" si="71">-SUM(G84,G96,G108,G120,G132,G144,G157,G170,G182,G194)</f>
        <v>181.29351809647304</v>
      </c>
      <c r="H57" s="24">
        <f t="shared" ca="1" si="71"/>
        <v>186.3681303844732</v>
      </c>
      <c r="I57" s="24">
        <f t="shared" ca="1" si="71"/>
        <v>191.58529719034911</v>
      </c>
      <c r="J57" s="24">
        <f t="shared" ref="J57:V57" ca="1" si="72">-SUM(J84,J96,J108,J120,J132,J144,J157,J170,J182,J194)</f>
        <v>196.94903666787857</v>
      </c>
      <c r="K57" s="24">
        <f t="shared" ca="1" si="72"/>
        <v>202.46348058860082</v>
      </c>
      <c r="L57" s="24">
        <f t="shared" ca="1" si="72"/>
        <v>208.13287756396267</v>
      </c>
      <c r="M57" s="24">
        <f t="shared" ca="1" si="72"/>
        <v>213.96159635909314</v>
      </c>
      <c r="N57" s="24">
        <f t="shared" ca="1" si="72"/>
        <v>219.9541293008179</v>
      </c>
      <c r="O57" s="24">
        <f t="shared" ca="1" si="72"/>
        <v>226.11509578260151</v>
      </c>
      <c r="P57" s="24">
        <f t="shared" ca="1" si="72"/>
        <v>232.44924586917998</v>
      </c>
      <c r="Q57" s="24">
        <f t="shared" ca="1" si="72"/>
        <v>238.96146400372714</v>
      </c>
      <c r="R57" s="24">
        <f t="shared" ca="1" si="72"/>
        <v>245.65677282047778</v>
      </c>
      <c r="S57" s="24">
        <f t="shared" ca="1" si="72"/>
        <v>82.98366883386791</v>
      </c>
      <c r="T57" s="24">
        <f t="shared" ca="1" si="72"/>
        <v>85.114948581807511</v>
      </c>
      <c r="U57" s="24">
        <f t="shared" ca="1" si="72"/>
        <v>87.300988783038861</v>
      </c>
      <c r="V57" s="24">
        <f t="shared" ca="1" si="72"/>
        <v>89.543197008372715</v>
      </c>
      <c r="W57" s="24"/>
      <c r="X57" s="24"/>
      <c r="Y57" s="24"/>
      <c r="Z57" s="24"/>
      <c r="AA57" s="24"/>
      <c r="AD57" t="s">
        <v>2</v>
      </c>
      <c r="AE57" s="13">
        <f t="shared" ca="1" si="47"/>
        <v>9.8799999999999999E-2</v>
      </c>
      <c r="AF57" s="11">
        <v>9.8799999999999999E-2</v>
      </c>
      <c r="AG57" s="11"/>
    </row>
    <row r="58" spans="1:33" x14ac:dyDescent="0.35">
      <c r="B58" t="s">
        <v>95</v>
      </c>
      <c r="F58" s="24">
        <f ca="1">SUM(F56:F57)</f>
        <v>381.27630265727464</v>
      </c>
      <c r="G58" s="24">
        <f t="shared" ref="G58:I58" ca="1" si="73">SUM(G56:G57)</f>
        <v>386.21226809647305</v>
      </c>
      <c r="H58" s="24">
        <f t="shared" ca="1" si="73"/>
        <v>391.28688038447319</v>
      </c>
      <c r="I58" s="24">
        <f t="shared" ca="1" si="73"/>
        <v>396.50404719034913</v>
      </c>
      <c r="J58" s="24">
        <f t="shared" ref="J58" ca="1" si="74">SUM(J56:J57)</f>
        <v>401.86778666787859</v>
      </c>
      <c r="K58" s="24">
        <f t="shared" ref="K58" ca="1" si="75">SUM(K56:K57)</f>
        <v>407.38223058860081</v>
      </c>
      <c r="L58" s="24">
        <f t="shared" ref="L58" ca="1" si="76">SUM(L56:L57)</f>
        <v>413.05162756396271</v>
      </c>
      <c r="M58" s="24">
        <f t="shared" ref="M58" ca="1" si="77">SUM(M56:M57)</f>
        <v>418.88034635909315</v>
      </c>
      <c r="N58" s="24">
        <f t="shared" ref="N58" ca="1" si="78">SUM(N56:N57)</f>
        <v>424.87287930081789</v>
      </c>
      <c r="O58" s="24">
        <f t="shared" ref="O58" ca="1" si="79">SUM(O56:O57)</f>
        <v>431.03384578260153</v>
      </c>
      <c r="P58" s="24">
        <f t="shared" ref="P58" ca="1" si="80">SUM(P56:P57)</f>
        <v>437.36799586917999</v>
      </c>
      <c r="Q58" s="24">
        <f t="shared" ref="Q58" ca="1" si="81">SUM(Q56:Q57)</f>
        <v>443.88021400372713</v>
      </c>
      <c r="R58" s="24">
        <f t="shared" ref="R58" ca="1" si="82">SUM(R56:R57)</f>
        <v>450.57552282047777</v>
      </c>
      <c r="S58" s="24">
        <f t="shared" ref="S58" ca="1" si="83">SUM(S56:S57)</f>
        <v>639.41535291140758</v>
      </c>
      <c r="T58" s="24">
        <f t="shared" ref="T58" ca="1" si="84">SUM(T56:T57)</f>
        <v>641.54663265934721</v>
      </c>
      <c r="U58" s="24">
        <f t="shared" ref="U58" ca="1" si="85">SUM(U56:U57)</f>
        <v>643.73267286057853</v>
      </c>
      <c r="V58" s="24">
        <f t="shared" ref="V58" ca="1" si="86">SUM(V56:V57)</f>
        <v>645.97488108591233</v>
      </c>
      <c r="W58" s="24"/>
      <c r="X58" s="24"/>
      <c r="Y58" s="24"/>
      <c r="Z58" s="24"/>
      <c r="AA58" s="24"/>
      <c r="AC58" s="18"/>
      <c r="AD58" t="s">
        <v>100</v>
      </c>
      <c r="AE58" s="13">
        <f t="shared" ca="1" si="47"/>
        <v>1</v>
      </c>
      <c r="AF58" s="11">
        <v>1</v>
      </c>
      <c r="AG58" s="11"/>
    </row>
    <row r="59" spans="1:33" x14ac:dyDescent="0.35">
      <c r="B59" t="s">
        <v>20</v>
      </c>
      <c r="F59" s="24">
        <f ca="1">SUM(F78,F90,F102,F114,F126,F138,F151,F164,F176,F188)</f>
        <v>23845.357552657275</v>
      </c>
      <c r="G59" s="24">
        <f t="shared" ref="G59:I59" ca="1" si="87">SUM(G78,G90,G102,G114,G126,G138,G151,G164,G176,G188)</f>
        <v>24026.651070753745</v>
      </c>
      <c r="H59" s="24">
        <f t="shared" ca="1" si="87"/>
        <v>24213.019201138221</v>
      </c>
      <c r="I59" s="24">
        <f t="shared" ca="1" si="87"/>
        <v>24404.604498328568</v>
      </c>
      <c r="J59" s="24">
        <f t="shared" ref="J59:V59" ca="1" si="88">SUM(J78,J90,J102,J114,J126,J138,J151,J164,J176,J188)</f>
        <v>24601.553534996448</v>
      </c>
      <c r="K59" s="24">
        <f t="shared" ca="1" si="88"/>
        <v>24804.01701558505</v>
      </c>
      <c r="L59" s="24">
        <f t="shared" ca="1" si="88"/>
        <v>25012.149893149013</v>
      </c>
      <c r="M59" s="24">
        <f t="shared" ca="1" si="88"/>
        <v>25226.111489508105</v>
      </c>
      <c r="N59" s="24">
        <f t="shared" ca="1" si="88"/>
        <v>25446.065618808923</v>
      </c>
      <c r="O59" s="24">
        <f t="shared" ca="1" si="88"/>
        <v>25672.180714591526</v>
      </c>
      <c r="P59" s="24">
        <f t="shared" ca="1" si="88"/>
        <v>25904.629960460705</v>
      </c>
      <c r="Q59" s="24">
        <f t="shared" ca="1" si="88"/>
        <v>26143.591424464434</v>
      </c>
      <c r="R59" s="24">
        <f t="shared" ca="1" si="88"/>
        <v>26389.248197284909</v>
      </c>
      <c r="S59" s="24">
        <f t="shared" ca="1" si="88"/>
        <v>26472.231866118778</v>
      </c>
      <c r="T59" s="24">
        <f t="shared" ca="1" si="88"/>
        <v>26557.346814700584</v>
      </c>
      <c r="U59" s="24">
        <f t="shared" ca="1" si="88"/>
        <v>26644.647803483625</v>
      </c>
      <c r="V59" s="24">
        <f t="shared" ca="1" si="88"/>
        <v>26734.191000491999</v>
      </c>
      <c r="W59" s="24"/>
      <c r="X59" s="24"/>
      <c r="Y59" s="24"/>
      <c r="Z59" s="24"/>
      <c r="AC59" t="s">
        <v>101</v>
      </c>
      <c r="AD59" s="6" t="s">
        <v>96</v>
      </c>
      <c r="AE59" s="13">
        <f t="shared" ca="1" si="47"/>
        <v>1425</v>
      </c>
      <c r="AF59">
        <v>1425</v>
      </c>
    </row>
    <row r="60" spans="1:33" x14ac:dyDescent="0.35">
      <c r="B60" t="s">
        <v>112</v>
      </c>
      <c r="J60" s="25">
        <f ca="1">SUM(G56:J57)/AVERAGE(G59,J59)</f>
        <v>6.4813043998454764E-2</v>
      </c>
      <c r="N60" s="25">
        <f ca="1">SUM(K56:N57)/AVERAGE(K59,N59)</f>
        <v>6.6236192920145043E-2</v>
      </c>
      <c r="R60" s="25">
        <f ca="1">SUM(O56:R57)/AVERAGE(O59,R59)</f>
        <v>6.7722212598503501E-2</v>
      </c>
      <c r="V60" s="25">
        <f ca="1">SUM(S56:V57)/AVERAGE(S59,V59)</f>
        <v>9.6630045810895751E-2</v>
      </c>
      <c r="W60" s="25"/>
      <c r="X60" s="25"/>
      <c r="Y60" s="25"/>
      <c r="Z60" s="25"/>
      <c r="AD60" t="s">
        <v>2</v>
      </c>
      <c r="AE60" s="13">
        <f t="shared" ca="1" si="47"/>
        <v>0.10299999999999999</v>
      </c>
      <c r="AF60" s="12">
        <v>0.10299999999999999</v>
      </c>
      <c r="AG60" s="12"/>
    </row>
    <row r="61" spans="1:33" x14ac:dyDescent="0.35">
      <c r="AC61" s="18"/>
      <c r="AD61" t="s">
        <v>100</v>
      </c>
      <c r="AE61" s="13">
        <f t="shared" ca="1" si="47"/>
        <v>1</v>
      </c>
      <c r="AF61" s="11">
        <v>1</v>
      </c>
      <c r="AG61" s="11"/>
    </row>
    <row r="62" spans="1:33" x14ac:dyDescent="0.35">
      <c r="AC62" t="s">
        <v>102</v>
      </c>
      <c r="AD62" s="6" t="s">
        <v>96</v>
      </c>
      <c r="AE62" s="13">
        <f t="shared" ca="1" si="47"/>
        <v>4000</v>
      </c>
      <c r="AF62">
        <v>4000</v>
      </c>
    </row>
    <row r="63" spans="1:33" x14ac:dyDescent="0.35">
      <c r="A63" t="s">
        <v>0</v>
      </c>
      <c r="B63" t="s">
        <v>86</v>
      </c>
      <c r="AD63" t="s">
        <v>2</v>
      </c>
      <c r="AE63" s="13">
        <f t="shared" ca="1" si="47"/>
        <v>0.115</v>
      </c>
      <c r="AF63" s="12">
        <v>0.115</v>
      </c>
      <c r="AG63" s="12"/>
    </row>
    <row r="64" spans="1:33" x14ac:dyDescent="0.35">
      <c r="B64" t="s">
        <v>87</v>
      </c>
      <c r="F64" s="14">
        <f t="shared" ref="F64:V64" si="89">E71</f>
        <v>8200</v>
      </c>
      <c r="G64" s="14">
        <f t="shared" ca="1" si="89"/>
        <v>11903.638942307691</v>
      </c>
      <c r="H64" s="14">
        <f t="shared" ca="1" si="89"/>
        <v>10407.277884615381</v>
      </c>
      <c r="I64" s="14">
        <f t="shared" ca="1" si="89"/>
        <v>9133.0810761538414</v>
      </c>
      <c r="J64" s="14">
        <f t="shared" ca="1" si="89"/>
        <v>7792.8220415876876</v>
      </c>
      <c r="K64" s="14">
        <f t="shared" ca="1" si="89"/>
        <v>6439.8964986513183</v>
      </c>
      <c r="L64" s="14">
        <f t="shared" ca="1" si="89"/>
        <v>5150.3599512551336</v>
      </c>
      <c r="M64" s="14">
        <f t="shared" ca="1" si="89"/>
        <v>4208.8825667139554</v>
      </c>
      <c r="N64" s="14">
        <f t="shared" ca="1" si="89"/>
        <v>3534.7469583533366</v>
      </c>
      <c r="O64" s="14">
        <f t="shared" ca="1" si="89"/>
        <v>3218.8395146527191</v>
      </c>
      <c r="P64" s="14">
        <f t="shared" ca="1" si="89"/>
        <v>3104.8933532613551</v>
      </c>
      <c r="Q64" s="14">
        <f t="shared" ca="1" si="89"/>
        <v>3167.3973418901114</v>
      </c>
      <c r="R64" s="14">
        <f t="shared" ca="1" si="89"/>
        <v>3386.6152533351883</v>
      </c>
      <c r="S64" s="14">
        <f t="shared" ca="1" si="89"/>
        <v>3674.655544163013</v>
      </c>
      <c r="T64" s="14">
        <f t="shared" ca="1" si="89"/>
        <v>3681.3817278837009</v>
      </c>
      <c r="U64" s="14">
        <f t="shared" ca="1" si="89"/>
        <v>3759.7107151142004</v>
      </c>
      <c r="V64" s="14">
        <f t="shared" ca="1" si="89"/>
        <v>3911.0745619247059</v>
      </c>
      <c r="W64" s="14"/>
      <c r="X64" s="14"/>
      <c r="Y64" s="14"/>
      <c r="Z64" s="14"/>
      <c r="AC64" s="18"/>
      <c r="AD64" t="s">
        <v>100</v>
      </c>
      <c r="AE64" s="13">
        <f t="shared" ca="1" si="47"/>
        <v>1</v>
      </c>
      <c r="AF64" s="11">
        <v>1</v>
      </c>
      <c r="AG64" s="11"/>
    </row>
    <row r="65" spans="1:33" x14ac:dyDescent="0.35">
      <c r="B65" t="s">
        <v>88</v>
      </c>
      <c r="F65" s="14">
        <f ca="1">$AE$47*$AE$48</f>
        <v>3200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C65" t="s">
        <v>11</v>
      </c>
      <c r="AD65" s="6" t="s">
        <v>96</v>
      </c>
      <c r="AE65" s="13">
        <f t="shared" ca="1" si="47"/>
        <v>2800</v>
      </c>
      <c r="AF65">
        <v>2800</v>
      </c>
    </row>
    <row r="66" spans="1:33" x14ac:dyDescent="0.35">
      <c r="B66" t="s">
        <v>117</v>
      </c>
      <c r="F66">
        <f>$AF$51</f>
        <v>2000</v>
      </c>
      <c r="AD66" t="s">
        <v>2</v>
      </c>
      <c r="AE66" s="13">
        <f t="shared" ca="1" si="47"/>
        <v>0.12</v>
      </c>
      <c r="AF66" s="46">
        <v>0.12</v>
      </c>
      <c r="AG66" s="46"/>
    </row>
    <row r="67" spans="1:33" x14ac:dyDescent="0.35">
      <c r="B67" t="s">
        <v>89</v>
      </c>
      <c r="F67" s="14">
        <f t="shared" ref="F67:V67" ca="1" si="90">F44</f>
        <v>-1291.4423076923076</v>
      </c>
      <c r="G67" s="14">
        <f t="shared" ca="1" si="90"/>
        <v>-1291.4423076923076</v>
      </c>
      <c r="H67" s="14">
        <f t="shared" ca="1" si="90"/>
        <v>-1069.2780584615384</v>
      </c>
      <c r="I67" s="14">
        <f t="shared" ca="1" si="90"/>
        <v>-1135.3402845661537</v>
      </c>
      <c r="J67" s="14">
        <f t="shared" ca="1" si="90"/>
        <v>-1148.0067929363693</v>
      </c>
      <c r="K67" s="14">
        <f t="shared" ca="1" si="90"/>
        <v>-1084.6177973961846</v>
      </c>
      <c r="L67" s="14">
        <f t="shared" ca="1" si="90"/>
        <v>-736.55863454117866</v>
      </c>
      <c r="M67" s="14">
        <f t="shared" ca="1" si="90"/>
        <v>-469.21685836061903</v>
      </c>
      <c r="N67" s="14">
        <f t="shared" ca="1" si="90"/>
        <v>-110.98869370061772</v>
      </c>
      <c r="O67" s="14">
        <f t="shared" ca="1" si="90"/>
        <v>90.972588608635704</v>
      </c>
      <c r="P67" s="14">
        <f t="shared" ca="1" si="90"/>
        <v>267.42273862875635</v>
      </c>
      <c r="Q67" s="14">
        <f t="shared" ca="1" si="90"/>
        <v>424.13666144507664</v>
      </c>
      <c r="R67" s="14">
        <f t="shared" ca="1" si="90"/>
        <v>492.95904082782459</v>
      </c>
      <c r="S67" s="14">
        <f t="shared" ca="1" si="90"/>
        <v>563.15786779822793</v>
      </c>
      <c r="T67" s="14">
        <f t="shared" ca="1" si="90"/>
        <v>634.76067130803858</v>
      </c>
      <c r="U67" s="14">
        <f t="shared" ca="1" si="90"/>
        <v>707.7955308880455</v>
      </c>
      <c r="V67" s="14">
        <f t="shared" ca="1" si="90"/>
        <v>782.2910876596527</v>
      </c>
      <c r="W67" s="14"/>
      <c r="X67" s="14"/>
      <c r="Y67" s="14"/>
      <c r="Z67" s="14"/>
      <c r="AC67" s="18"/>
      <c r="AD67" t="s">
        <v>100</v>
      </c>
      <c r="AE67" s="13">
        <f t="shared" ca="1" si="47"/>
        <v>0</v>
      </c>
      <c r="AF67" s="11">
        <v>0</v>
      </c>
      <c r="AG67" s="11"/>
    </row>
    <row r="68" spans="1:33" x14ac:dyDescent="0.35">
      <c r="B68" t="s">
        <v>90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C68" t="s">
        <v>103</v>
      </c>
      <c r="AD68" s="6" t="s">
        <v>96</v>
      </c>
      <c r="AE68" s="13">
        <f t="shared" ca="1" si="47"/>
        <v>2000</v>
      </c>
      <c r="AF68">
        <v>2000</v>
      </c>
    </row>
    <row r="69" spans="1:33" x14ac:dyDescent="0.35">
      <c r="B69" t="s">
        <v>131</v>
      </c>
      <c r="F69" s="14">
        <f t="shared" ref="F69:V69" ca="1" si="91">-F56</f>
        <v>-204.91875000000002</v>
      </c>
      <c r="G69" s="14">
        <f t="shared" ca="1" si="91"/>
        <v>-204.91875000000002</v>
      </c>
      <c r="H69" s="14">
        <f t="shared" ca="1" si="91"/>
        <v>-204.91875000000002</v>
      </c>
      <c r="I69" s="14">
        <f t="shared" ca="1" si="91"/>
        <v>-204.91875000000002</v>
      </c>
      <c r="J69" s="14">
        <f t="shared" ca="1" si="91"/>
        <v>-204.91875000000002</v>
      </c>
      <c r="K69" s="14">
        <f t="shared" ca="1" si="91"/>
        <v>-204.91875000000002</v>
      </c>
      <c r="L69" s="14">
        <f t="shared" ca="1" si="91"/>
        <v>-204.91875000000002</v>
      </c>
      <c r="M69" s="14">
        <f t="shared" ca="1" si="91"/>
        <v>-204.91875000000002</v>
      </c>
      <c r="N69" s="14">
        <f t="shared" ca="1" si="91"/>
        <v>-204.91875000000002</v>
      </c>
      <c r="O69" s="14">
        <f t="shared" ca="1" si="91"/>
        <v>-204.91875000000002</v>
      </c>
      <c r="P69" s="14">
        <f t="shared" ca="1" si="91"/>
        <v>-204.91875000000002</v>
      </c>
      <c r="Q69" s="14">
        <f t="shared" ca="1" si="91"/>
        <v>-204.91875000000002</v>
      </c>
      <c r="R69" s="14">
        <f t="shared" ca="1" si="91"/>
        <v>-204.91875000000002</v>
      </c>
      <c r="S69" s="14">
        <f t="shared" ca="1" si="91"/>
        <v>-556.43168407753967</v>
      </c>
      <c r="T69" s="14">
        <f t="shared" ca="1" si="91"/>
        <v>-556.43168407753967</v>
      </c>
      <c r="U69" s="14">
        <f t="shared" ca="1" si="91"/>
        <v>-556.43168407753967</v>
      </c>
      <c r="V69" s="14">
        <f t="shared" ca="1" si="91"/>
        <v>-556.43168407753967</v>
      </c>
      <c r="W69" s="14"/>
      <c r="X69" s="14"/>
      <c r="Y69" s="14"/>
      <c r="Z69" s="14"/>
      <c r="AD69" t="s">
        <v>2</v>
      </c>
      <c r="AE69" s="13">
        <f t="shared" ca="1" si="47"/>
        <v>5.7500000000000002E-2</v>
      </c>
      <c r="AF69" s="12">
        <v>5.7500000000000002E-2</v>
      </c>
      <c r="AG69" s="12"/>
    </row>
    <row r="70" spans="1:33" x14ac:dyDescent="0.35">
      <c r="B70" t="s">
        <v>91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C70" s="18"/>
      <c r="AD70" t="s">
        <v>100</v>
      </c>
      <c r="AE70" s="13">
        <f t="shared" ca="1" si="47"/>
        <v>0</v>
      </c>
      <c r="AF70" s="11">
        <v>0</v>
      </c>
      <c r="AG70" s="11"/>
    </row>
    <row r="71" spans="1:33" x14ac:dyDescent="0.35">
      <c r="B71" s="8" t="s">
        <v>92</v>
      </c>
      <c r="C71" s="8"/>
      <c r="D71" s="8"/>
      <c r="E71" s="8">
        <v>8200</v>
      </c>
      <c r="F71" s="15">
        <f t="shared" ref="F71:V71" ca="1" si="92">SUM(F64:F70)</f>
        <v>11903.638942307691</v>
      </c>
      <c r="G71" s="15">
        <f t="shared" ca="1" si="92"/>
        <v>10407.277884615381</v>
      </c>
      <c r="H71" s="15">
        <f t="shared" ca="1" si="92"/>
        <v>9133.0810761538414</v>
      </c>
      <c r="I71" s="15">
        <f t="shared" ca="1" si="92"/>
        <v>7792.8220415876876</v>
      </c>
      <c r="J71" s="15">
        <f t="shared" ca="1" si="92"/>
        <v>6439.8964986513183</v>
      </c>
      <c r="K71" s="15">
        <f t="shared" ca="1" si="92"/>
        <v>5150.3599512551336</v>
      </c>
      <c r="L71" s="15">
        <f t="shared" ca="1" si="92"/>
        <v>4208.8825667139554</v>
      </c>
      <c r="M71" s="15">
        <f t="shared" ca="1" si="92"/>
        <v>3534.7469583533366</v>
      </c>
      <c r="N71" s="15">
        <f t="shared" ca="1" si="92"/>
        <v>3218.8395146527191</v>
      </c>
      <c r="O71" s="15">
        <f t="shared" ca="1" si="92"/>
        <v>3104.8933532613551</v>
      </c>
      <c r="P71" s="15">
        <f t="shared" ca="1" si="92"/>
        <v>3167.3973418901114</v>
      </c>
      <c r="Q71" s="15">
        <f t="shared" ca="1" si="92"/>
        <v>3386.6152533351883</v>
      </c>
      <c r="R71" s="15">
        <f t="shared" ca="1" si="92"/>
        <v>3674.655544163013</v>
      </c>
      <c r="S71" s="15">
        <f t="shared" ca="1" si="92"/>
        <v>3681.3817278837009</v>
      </c>
      <c r="T71" s="15">
        <f t="shared" ca="1" si="92"/>
        <v>3759.7107151142004</v>
      </c>
      <c r="U71" s="15">
        <f t="shared" ca="1" si="92"/>
        <v>3911.0745619247059</v>
      </c>
      <c r="V71" s="15">
        <f t="shared" ca="1" si="92"/>
        <v>4136.9339655068188</v>
      </c>
      <c r="W71" s="49"/>
      <c r="X71" s="49"/>
      <c r="Y71" s="49"/>
      <c r="Z71" s="49"/>
      <c r="AC71" t="s">
        <v>104</v>
      </c>
      <c r="AD71" s="6" t="s">
        <v>96</v>
      </c>
      <c r="AE71" s="13">
        <f t="shared" ca="1" si="47"/>
        <v>3545</v>
      </c>
      <c r="AF71">
        <v>3545</v>
      </c>
    </row>
    <row r="72" spans="1:33" x14ac:dyDescent="0.35">
      <c r="AD72" t="s">
        <v>2</v>
      </c>
      <c r="AE72" s="13">
        <f t="shared" ca="1" si="47"/>
        <v>2.5000000000000001E-2</v>
      </c>
      <c r="AF72" s="12">
        <v>2.5000000000000001E-2</v>
      </c>
      <c r="AG72" s="12"/>
    </row>
    <row r="73" spans="1:33" x14ac:dyDescent="0.35">
      <c r="AC73" s="18"/>
      <c r="AD73" t="s">
        <v>100</v>
      </c>
      <c r="AE73" s="13">
        <f t="shared" ca="1" si="47"/>
        <v>0</v>
      </c>
      <c r="AF73" s="11">
        <v>0</v>
      </c>
      <c r="AG73" s="11"/>
    </row>
    <row r="74" spans="1:33" x14ac:dyDescent="0.35">
      <c r="A74" t="s">
        <v>0</v>
      </c>
      <c r="B74" s="4" t="s">
        <v>8</v>
      </c>
      <c r="AC74" t="s">
        <v>16</v>
      </c>
      <c r="AD74" s="6" t="s">
        <v>96</v>
      </c>
      <c r="AE74" s="13">
        <f t="shared" ca="1" si="47"/>
        <v>2793</v>
      </c>
      <c r="AF74">
        <v>2793</v>
      </c>
    </row>
    <row r="75" spans="1:33" x14ac:dyDescent="0.35">
      <c r="B75" s="4" t="s">
        <v>108</v>
      </c>
      <c r="F75" s="14">
        <f ca="1">E78</f>
        <v>3000</v>
      </c>
      <c r="G75" s="14">
        <f t="shared" ref="G75:V75" ca="1" si="93">F78</f>
        <v>3000</v>
      </c>
      <c r="H75" s="14">
        <f t="shared" ca="1" si="93"/>
        <v>3000</v>
      </c>
      <c r="I75" s="14">
        <f t="shared" ca="1" si="93"/>
        <v>3000</v>
      </c>
      <c r="J75" s="14">
        <f t="shared" ca="1" si="93"/>
        <v>3000</v>
      </c>
      <c r="K75" s="14">
        <f t="shared" ca="1" si="93"/>
        <v>3000</v>
      </c>
      <c r="L75" s="14">
        <f t="shared" ca="1" si="93"/>
        <v>3000</v>
      </c>
      <c r="M75" s="14">
        <f t="shared" ca="1" si="93"/>
        <v>3000</v>
      </c>
      <c r="N75" s="14">
        <f t="shared" ca="1" si="93"/>
        <v>3000</v>
      </c>
      <c r="O75" s="14">
        <f t="shared" ca="1" si="93"/>
        <v>3000</v>
      </c>
      <c r="P75" s="14">
        <f t="shared" ca="1" si="93"/>
        <v>3000</v>
      </c>
      <c r="Q75" s="14">
        <f t="shared" ca="1" si="93"/>
        <v>3000</v>
      </c>
      <c r="R75" s="14">
        <f t="shared" ca="1" si="93"/>
        <v>3000</v>
      </c>
      <c r="S75" s="14">
        <f t="shared" ca="1" si="93"/>
        <v>3000</v>
      </c>
      <c r="T75" s="14">
        <f t="shared" ca="1" si="93"/>
        <v>3000</v>
      </c>
      <c r="U75" s="14">
        <f t="shared" ca="1" si="93"/>
        <v>3000</v>
      </c>
      <c r="V75" s="14">
        <f t="shared" ca="1" si="93"/>
        <v>3000</v>
      </c>
      <c r="W75" s="14"/>
      <c r="X75" s="14"/>
      <c r="Y75" s="14"/>
      <c r="Z75" s="14"/>
      <c r="AD75" t="s">
        <v>2</v>
      </c>
      <c r="AE75" s="13">
        <f t="shared" ca="1" si="47"/>
        <v>2.5000000000000001E-2</v>
      </c>
      <c r="AF75" s="12">
        <v>2.5000000000000001E-2</v>
      </c>
      <c r="AG75" s="12"/>
    </row>
    <row r="76" spans="1:33" x14ac:dyDescent="0.35">
      <c r="B76" t="s">
        <v>90</v>
      </c>
      <c r="F76" s="14">
        <f t="shared" ref="F76:V76" si="94">F68</f>
        <v>0</v>
      </c>
      <c r="G76" s="14">
        <f t="shared" si="94"/>
        <v>0</v>
      </c>
      <c r="H76" s="14">
        <f t="shared" si="94"/>
        <v>0</v>
      </c>
      <c r="I76" s="14">
        <f t="shared" si="94"/>
        <v>0</v>
      </c>
      <c r="J76" s="14">
        <f t="shared" si="94"/>
        <v>0</v>
      </c>
      <c r="K76" s="14">
        <f t="shared" si="94"/>
        <v>0</v>
      </c>
      <c r="L76" s="14">
        <f t="shared" si="94"/>
        <v>0</v>
      </c>
      <c r="M76" s="14">
        <f t="shared" si="94"/>
        <v>0</v>
      </c>
      <c r="N76" s="14">
        <f t="shared" si="94"/>
        <v>0</v>
      </c>
      <c r="O76" s="14">
        <f t="shared" si="94"/>
        <v>0</v>
      </c>
      <c r="P76" s="14">
        <f t="shared" si="94"/>
        <v>0</v>
      </c>
      <c r="Q76" s="14">
        <f t="shared" si="94"/>
        <v>0</v>
      </c>
      <c r="R76" s="14">
        <f t="shared" si="94"/>
        <v>0</v>
      </c>
      <c r="S76" s="14">
        <f t="shared" si="94"/>
        <v>0</v>
      </c>
      <c r="T76" s="14">
        <f t="shared" si="94"/>
        <v>0</v>
      </c>
      <c r="U76" s="14">
        <f t="shared" si="94"/>
        <v>0</v>
      </c>
      <c r="V76" s="14">
        <f t="shared" si="94"/>
        <v>0</v>
      </c>
      <c r="W76" s="14"/>
      <c r="X76" s="14"/>
      <c r="Y76" s="14"/>
      <c r="Z76" s="14"/>
      <c r="AC76" s="18"/>
      <c r="AD76" t="s">
        <v>100</v>
      </c>
      <c r="AE76" s="13">
        <f t="shared" ca="1" si="47"/>
        <v>0</v>
      </c>
      <c r="AF76" s="11">
        <v>0</v>
      </c>
      <c r="AG76" s="11"/>
    </row>
    <row r="77" spans="1:33" x14ac:dyDescent="0.35">
      <c r="B77" t="s">
        <v>109</v>
      </c>
      <c r="F77" s="14">
        <f ca="1">-F84</f>
        <v>0</v>
      </c>
      <c r="G77" s="14">
        <f t="shared" ref="G77:V77" ca="1" si="95">-G84</f>
        <v>0</v>
      </c>
      <c r="H77" s="14">
        <f t="shared" ca="1" si="95"/>
        <v>0</v>
      </c>
      <c r="I77" s="14">
        <f t="shared" ca="1" si="95"/>
        <v>0</v>
      </c>
      <c r="J77" s="14">
        <f t="shared" ca="1" si="95"/>
        <v>0</v>
      </c>
      <c r="K77" s="14">
        <f t="shared" ca="1" si="95"/>
        <v>0</v>
      </c>
      <c r="L77" s="14">
        <f t="shared" ca="1" si="95"/>
        <v>0</v>
      </c>
      <c r="M77" s="14">
        <f t="shared" ca="1" si="95"/>
        <v>0</v>
      </c>
      <c r="N77" s="14">
        <f t="shared" ca="1" si="95"/>
        <v>0</v>
      </c>
      <c r="O77" s="14">
        <f t="shared" ca="1" si="95"/>
        <v>0</v>
      </c>
      <c r="P77" s="14">
        <f t="shared" ca="1" si="95"/>
        <v>0</v>
      </c>
      <c r="Q77" s="14">
        <f t="shared" ca="1" si="95"/>
        <v>0</v>
      </c>
      <c r="R77" s="14">
        <f t="shared" ca="1" si="95"/>
        <v>0</v>
      </c>
      <c r="S77" s="14">
        <f t="shared" ca="1" si="95"/>
        <v>0</v>
      </c>
      <c r="T77" s="14">
        <f t="shared" ca="1" si="95"/>
        <v>0</v>
      </c>
      <c r="U77" s="14">
        <f t="shared" ca="1" si="95"/>
        <v>0</v>
      </c>
      <c r="V77" s="14">
        <f t="shared" ca="1" si="95"/>
        <v>0</v>
      </c>
      <c r="W77" s="14"/>
      <c r="X77" s="14"/>
      <c r="Y77" s="14"/>
      <c r="Z77" s="14"/>
      <c r="AC77" t="s">
        <v>105</v>
      </c>
      <c r="AD77" s="6" t="s">
        <v>96</v>
      </c>
      <c r="AE77" s="13">
        <f t="shared" ca="1" si="47"/>
        <v>3206</v>
      </c>
      <c r="AF77">
        <v>3206</v>
      </c>
    </row>
    <row r="78" spans="1:33" x14ac:dyDescent="0.35">
      <c r="B78" s="8" t="s">
        <v>110</v>
      </c>
      <c r="C78" s="8"/>
      <c r="D78" s="8"/>
      <c r="E78" s="47">
        <f ca="1">$AE$53</f>
        <v>3000</v>
      </c>
      <c r="F78" s="15">
        <f ca="1">SUM(F75:F77)</f>
        <v>3000</v>
      </c>
      <c r="G78" s="15">
        <f t="shared" ref="G78:V78" ca="1" si="96">SUM(G75:G77)</f>
        <v>3000</v>
      </c>
      <c r="H78" s="15">
        <f t="shared" ca="1" si="96"/>
        <v>3000</v>
      </c>
      <c r="I78" s="15">
        <f t="shared" ca="1" si="96"/>
        <v>3000</v>
      </c>
      <c r="J78" s="15">
        <f t="shared" ca="1" si="96"/>
        <v>3000</v>
      </c>
      <c r="K78" s="15">
        <f t="shared" ca="1" si="96"/>
        <v>3000</v>
      </c>
      <c r="L78" s="15">
        <f t="shared" ca="1" si="96"/>
        <v>3000</v>
      </c>
      <c r="M78" s="15">
        <f t="shared" ca="1" si="96"/>
        <v>3000</v>
      </c>
      <c r="N78" s="15">
        <f t="shared" ca="1" si="96"/>
        <v>3000</v>
      </c>
      <c r="O78" s="15">
        <f t="shared" ca="1" si="96"/>
        <v>3000</v>
      </c>
      <c r="P78" s="15">
        <f t="shared" ca="1" si="96"/>
        <v>3000</v>
      </c>
      <c r="Q78" s="15">
        <f t="shared" ca="1" si="96"/>
        <v>3000</v>
      </c>
      <c r="R78" s="15">
        <f t="shared" ca="1" si="96"/>
        <v>3000</v>
      </c>
      <c r="S78" s="15">
        <f t="shared" ca="1" si="96"/>
        <v>3000</v>
      </c>
      <c r="T78" s="15">
        <f t="shared" ca="1" si="96"/>
        <v>3000</v>
      </c>
      <c r="U78" s="15">
        <f t="shared" ca="1" si="96"/>
        <v>3000</v>
      </c>
      <c r="V78" s="15">
        <f t="shared" ca="1" si="96"/>
        <v>3000</v>
      </c>
      <c r="W78" s="49"/>
      <c r="X78" s="49"/>
      <c r="Y78" s="49"/>
      <c r="Z78" s="49"/>
      <c r="AD78" t="s">
        <v>2</v>
      </c>
      <c r="AE78" s="13">
        <f t="shared" ca="1" si="47"/>
        <v>3.7499999999999999E-2</v>
      </c>
      <c r="AF78" s="12">
        <v>3.7499999999999999E-2</v>
      </c>
      <c r="AG78" s="12"/>
    </row>
    <row r="79" spans="1:33" x14ac:dyDescent="0.35"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C79" s="18"/>
      <c r="AD79" t="s">
        <v>100</v>
      </c>
      <c r="AE79" s="13">
        <f t="shared" ca="1" si="47"/>
        <v>0</v>
      </c>
      <c r="AF79" s="11">
        <v>0</v>
      </c>
      <c r="AG79" s="11"/>
    </row>
    <row r="80" spans="1:33" x14ac:dyDescent="0.35">
      <c r="B80" t="s">
        <v>111</v>
      </c>
      <c r="F80" s="14">
        <f ca="1">AVERAGE(F78,F75)</f>
        <v>3000</v>
      </c>
      <c r="G80" s="14">
        <f t="shared" ref="G80:V80" ca="1" si="97">AVERAGE(G78,G75)</f>
        <v>3000</v>
      </c>
      <c r="H80" s="14">
        <f t="shared" ca="1" si="97"/>
        <v>3000</v>
      </c>
      <c r="I80" s="14">
        <f t="shared" ca="1" si="97"/>
        <v>3000</v>
      </c>
      <c r="J80" s="14">
        <f t="shared" ca="1" si="97"/>
        <v>3000</v>
      </c>
      <c r="K80" s="14">
        <f t="shared" ca="1" si="97"/>
        <v>3000</v>
      </c>
      <c r="L80" s="14">
        <f t="shared" ca="1" si="97"/>
        <v>3000</v>
      </c>
      <c r="M80" s="14">
        <f t="shared" ca="1" si="97"/>
        <v>3000</v>
      </c>
      <c r="N80" s="14">
        <f t="shared" ca="1" si="97"/>
        <v>3000</v>
      </c>
      <c r="O80" s="14">
        <f t="shared" ca="1" si="97"/>
        <v>3000</v>
      </c>
      <c r="P80" s="14">
        <f t="shared" ca="1" si="97"/>
        <v>3000</v>
      </c>
      <c r="Q80" s="14">
        <f t="shared" ca="1" si="97"/>
        <v>3000</v>
      </c>
      <c r="R80" s="14">
        <f t="shared" ca="1" si="97"/>
        <v>3000</v>
      </c>
      <c r="S80" s="14">
        <f t="shared" ca="1" si="97"/>
        <v>3000</v>
      </c>
      <c r="T80" s="14">
        <f t="shared" ca="1" si="97"/>
        <v>3000</v>
      </c>
      <c r="U80" s="14">
        <f t="shared" ca="1" si="97"/>
        <v>3000</v>
      </c>
      <c r="V80" s="14">
        <f t="shared" ca="1" si="97"/>
        <v>3000</v>
      </c>
      <c r="W80" s="14"/>
      <c r="X80" s="14"/>
      <c r="Y80" s="14"/>
      <c r="Z80" s="14"/>
      <c r="AC80" t="s">
        <v>106</v>
      </c>
      <c r="AD80" s="6" t="s">
        <v>96</v>
      </c>
      <c r="AE80" s="13">
        <f t="shared" ca="1" si="47"/>
        <v>0</v>
      </c>
      <c r="AF80" s="13">
        <v>0</v>
      </c>
      <c r="AG80" s="13"/>
    </row>
    <row r="81" spans="1:33" x14ac:dyDescent="0.35">
      <c r="B81" t="s">
        <v>2</v>
      </c>
      <c r="F81" s="25">
        <f t="shared" ref="F81:V81" ca="1" si="98">$AE$54/4</f>
        <v>7.4999999999999997E-3</v>
      </c>
      <c r="G81" s="25">
        <f t="shared" ca="1" si="98"/>
        <v>7.4999999999999997E-3</v>
      </c>
      <c r="H81" s="25">
        <f t="shared" ca="1" si="98"/>
        <v>7.4999999999999997E-3</v>
      </c>
      <c r="I81" s="25">
        <f t="shared" ca="1" si="98"/>
        <v>7.4999999999999997E-3</v>
      </c>
      <c r="J81" s="25">
        <f t="shared" ca="1" si="98"/>
        <v>7.4999999999999997E-3</v>
      </c>
      <c r="K81" s="25">
        <f t="shared" ca="1" si="98"/>
        <v>7.4999999999999997E-3</v>
      </c>
      <c r="L81" s="25">
        <f t="shared" ca="1" si="98"/>
        <v>7.4999999999999997E-3</v>
      </c>
      <c r="M81" s="25">
        <f t="shared" ca="1" si="98"/>
        <v>7.4999999999999997E-3</v>
      </c>
      <c r="N81" s="25">
        <f t="shared" ca="1" si="98"/>
        <v>7.4999999999999997E-3</v>
      </c>
      <c r="O81" s="25">
        <f t="shared" ca="1" si="98"/>
        <v>7.4999999999999997E-3</v>
      </c>
      <c r="P81" s="25">
        <f t="shared" ca="1" si="98"/>
        <v>7.4999999999999997E-3</v>
      </c>
      <c r="Q81" s="25">
        <f t="shared" ca="1" si="98"/>
        <v>7.4999999999999997E-3</v>
      </c>
      <c r="R81" s="25">
        <f t="shared" ca="1" si="98"/>
        <v>7.4999999999999997E-3</v>
      </c>
      <c r="S81" s="25">
        <f t="shared" ca="1" si="98"/>
        <v>7.4999999999999997E-3</v>
      </c>
      <c r="T81" s="25">
        <f t="shared" ca="1" si="98"/>
        <v>7.4999999999999997E-3</v>
      </c>
      <c r="U81" s="25">
        <f t="shared" ca="1" si="98"/>
        <v>7.4999999999999997E-3</v>
      </c>
      <c r="V81" s="25">
        <f t="shared" ca="1" si="98"/>
        <v>7.4999999999999997E-3</v>
      </c>
      <c r="W81" s="25"/>
      <c r="X81" s="25"/>
      <c r="Y81" s="25"/>
      <c r="Z81" s="25"/>
      <c r="AC81" t="s">
        <v>107</v>
      </c>
      <c r="AD81" t="s">
        <v>2</v>
      </c>
      <c r="AE81" s="13">
        <f t="shared" ca="1" si="47"/>
        <v>0.15</v>
      </c>
      <c r="AF81" s="11">
        <v>0.15</v>
      </c>
      <c r="AG81" s="11"/>
    </row>
    <row r="82" spans="1:33" x14ac:dyDescent="0.35">
      <c r="B82" t="s">
        <v>112</v>
      </c>
      <c r="F82" s="14">
        <f ca="1">-F80*F81</f>
        <v>-22.5</v>
      </c>
      <c r="G82" s="14">
        <f t="shared" ref="G82:V82" ca="1" si="99">-G80*G81</f>
        <v>-22.5</v>
      </c>
      <c r="H82" s="14">
        <f t="shared" ca="1" si="99"/>
        <v>-22.5</v>
      </c>
      <c r="I82" s="14">
        <f t="shared" ca="1" si="99"/>
        <v>-22.5</v>
      </c>
      <c r="J82" s="14">
        <f t="shared" ca="1" si="99"/>
        <v>-22.5</v>
      </c>
      <c r="K82" s="14">
        <f t="shared" ca="1" si="99"/>
        <v>-22.5</v>
      </c>
      <c r="L82" s="14">
        <f t="shared" ca="1" si="99"/>
        <v>-22.5</v>
      </c>
      <c r="M82" s="14">
        <f t="shared" ca="1" si="99"/>
        <v>-22.5</v>
      </c>
      <c r="N82" s="14">
        <f t="shared" ca="1" si="99"/>
        <v>-22.5</v>
      </c>
      <c r="O82" s="14">
        <f t="shared" ca="1" si="99"/>
        <v>-22.5</v>
      </c>
      <c r="P82" s="14">
        <f t="shared" ca="1" si="99"/>
        <v>-22.5</v>
      </c>
      <c r="Q82" s="14">
        <f t="shared" ca="1" si="99"/>
        <v>-22.5</v>
      </c>
      <c r="R82" s="14">
        <f t="shared" ca="1" si="99"/>
        <v>-22.5</v>
      </c>
      <c r="S82" s="14">
        <f t="shared" ca="1" si="99"/>
        <v>-22.5</v>
      </c>
      <c r="T82" s="14">
        <f t="shared" ca="1" si="99"/>
        <v>-22.5</v>
      </c>
      <c r="U82" s="14">
        <f t="shared" ca="1" si="99"/>
        <v>-22.5</v>
      </c>
      <c r="V82" s="14">
        <f t="shared" ca="1" si="99"/>
        <v>-22.5</v>
      </c>
      <c r="W82" s="14"/>
      <c r="X82" s="14"/>
      <c r="Y82" s="14"/>
      <c r="Z82" s="14"/>
      <c r="AD82" t="s">
        <v>100</v>
      </c>
      <c r="AE82" s="13">
        <f t="shared" ca="1" si="47"/>
        <v>0</v>
      </c>
      <c r="AF82" s="11">
        <v>0</v>
      </c>
      <c r="AG82" s="11"/>
    </row>
    <row r="83" spans="1:33" x14ac:dyDescent="0.35">
      <c r="B83" t="s">
        <v>86</v>
      </c>
      <c r="F83" s="14">
        <f ca="1">F82-F84</f>
        <v>-22.5</v>
      </c>
      <c r="G83" s="14">
        <f t="shared" ref="G83:V83" ca="1" si="100">G82-G84</f>
        <v>-22.5</v>
      </c>
      <c r="H83" s="14">
        <f t="shared" ca="1" si="100"/>
        <v>-22.5</v>
      </c>
      <c r="I83" s="14">
        <f t="shared" ca="1" si="100"/>
        <v>-22.5</v>
      </c>
      <c r="J83" s="14">
        <f t="shared" ca="1" si="100"/>
        <v>-22.5</v>
      </c>
      <c r="K83" s="14">
        <f t="shared" ca="1" si="100"/>
        <v>-22.5</v>
      </c>
      <c r="L83" s="14">
        <f t="shared" ca="1" si="100"/>
        <v>-22.5</v>
      </c>
      <c r="M83" s="14">
        <f t="shared" ca="1" si="100"/>
        <v>-22.5</v>
      </c>
      <c r="N83" s="14">
        <f t="shared" ca="1" si="100"/>
        <v>-22.5</v>
      </c>
      <c r="O83" s="14">
        <f t="shared" ca="1" si="100"/>
        <v>-22.5</v>
      </c>
      <c r="P83" s="14">
        <f t="shared" ca="1" si="100"/>
        <v>-22.5</v>
      </c>
      <c r="Q83" s="14">
        <f t="shared" ca="1" si="100"/>
        <v>-22.5</v>
      </c>
      <c r="R83" s="14">
        <f t="shared" ca="1" si="100"/>
        <v>-22.5</v>
      </c>
      <c r="S83" s="14">
        <f t="shared" ca="1" si="100"/>
        <v>-22.5</v>
      </c>
      <c r="T83" s="14">
        <f t="shared" ca="1" si="100"/>
        <v>-22.5</v>
      </c>
      <c r="U83" s="14">
        <f t="shared" ca="1" si="100"/>
        <v>-22.5</v>
      </c>
      <c r="V83" s="14">
        <f t="shared" ca="1" si="100"/>
        <v>-22.5</v>
      </c>
      <c r="W83" s="14"/>
      <c r="X83" s="14"/>
      <c r="Y83" s="14"/>
      <c r="Z83" s="14"/>
      <c r="AD83" t="s">
        <v>122</v>
      </c>
      <c r="AE83" s="13">
        <f t="shared" ca="1" si="47"/>
        <v>10</v>
      </c>
      <c r="AF83">
        <v>10</v>
      </c>
    </row>
    <row r="84" spans="1:33" x14ac:dyDescent="0.35">
      <c r="B84" t="s">
        <v>113</v>
      </c>
      <c r="F84" s="14">
        <f t="shared" ref="F84:V84" ca="1" si="101">F82*$AE$55</f>
        <v>0</v>
      </c>
      <c r="G84" s="14">
        <f t="shared" ca="1" si="101"/>
        <v>0</v>
      </c>
      <c r="H84" s="14">
        <f t="shared" ca="1" si="101"/>
        <v>0</v>
      </c>
      <c r="I84" s="14">
        <f t="shared" ca="1" si="101"/>
        <v>0</v>
      </c>
      <c r="J84" s="14">
        <f t="shared" ca="1" si="101"/>
        <v>0</v>
      </c>
      <c r="K84" s="14">
        <f t="shared" ca="1" si="101"/>
        <v>0</v>
      </c>
      <c r="L84" s="14">
        <f t="shared" ca="1" si="101"/>
        <v>0</v>
      </c>
      <c r="M84" s="14">
        <f t="shared" ca="1" si="101"/>
        <v>0</v>
      </c>
      <c r="N84" s="14">
        <f t="shared" ca="1" si="101"/>
        <v>0</v>
      </c>
      <c r="O84" s="14">
        <f t="shared" ca="1" si="101"/>
        <v>0</v>
      </c>
      <c r="P84" s="14">
        <f t="shared" ca="1" si="101"/>
        <v>0</v>
      </c>
      <c r="Q84" s="14">
        <f t="shared" ca="1" si="101"/>
        <v>0</v>
      </c>
      <c r="R84" s="14">
        <f t="shared" ca="1" si="101"/>
        <v>0</v>
      </c>
      <c r="S84" s="14">
        <f t="shared" ca="1" si="101"/>
        <v>0</v>
      </c>
      <c r="T84" s="14">
        <f t="shared" ca="1" si="101"/>
        <v>0</v>
      </c>
      <c r="U84" s="14">
        <f t="shared" ca="1" si="101"/>
        <v>0</v>
      </c>
      <c r="V84" s="14">
        <f t="shared" ca="1" si="101"/>
        <v>0</v>
      </c>
      <c r="W84" s="14"/>
      <c r="X84" s="14"/>
      <c r="Y84" s="14"/>
      <c r="Z84" s="14"/>
      <c r="AD84" t="s">
        <v>138</v>
      </c>
      <c r="AE84" s="13">
        <f ca="1">AA54</f>
        <v>20813.815560732946</v>
      </c>
    </row>
    <row r="85" spans="1:33" x14ac:dyDescent="0.35">
      <c r="AD85" t="s">
        <v>129</v>
      </c>
      <c r="AE85" s="24">
        <f ca="1">AA53</f>
        <v>-22597.257034985181</v>
      </c>
    </row>
    <row r="86" spans="1:33" x14ac:dyDescent="0.35">
      <c r="A86" t="s">
        <v>0</v>
      </c>
      <c r="B86" s="4" t="s">
        <v>114</v>
      </c>
      <c r="AD86" t="s">
        <v>123</v>
      </c>
      <c r="AE86" s="13">
        <f ca="1">AA56</f>
        <v>23.024132257447949</v>
      </c>
    </row>
    <row r="87" spans="1:33" x14ac:dyDescent="0.35">
      <c r="B87" s="4" t="s">
        <v>108</v>
      </c>
      <c r="F87" s="14">
        <f ca="1">E90</f>
        <v>900</v>
      </c>
      <c r="G87" s="14">
        <f t="shared" ref="G87:V87" ca="1" si="102">F90</f>
        <v>922.50797347238392</v>
      </c>
      <c r="H87" s="14">
        <f t="shared" ca="1" si="102"/>
        <v>945.57884568902739</v>
      </c>
      <c r="I87" s="14">
        <f t="shared" ca="1" si="102"/>
        <v>969.22669410548963</v>
      </c>
      <c r="J87" s="14">
        <f t="shared" ca="1" si="102"/>
        <v>993.46594823843714</v>
      </c>
      <c r="K87" s="14">
        <f t="shared" ca="1" si="102"/>
        <v>1018.3113984702899</v>
      </c>
      <c r="L87" s="14">
        <f t="shared" ca="1" si="102"/>
        <v>1043.7782050740627</v>
      </c>
      <c r="M87" s="14">
        <f t="shared" ca="1" si="102"/>
        <v>1069.8819074639066</v>
      </c>
      <c r="N87" s="14">
        <f t="shared" ca="1" si="102"/>
        <v>1096.6384336769968</v>
      </c>
      <c r="O87" s="14">
        <f t="shared" ca="1" si="102"/>
        <v>1124.0641100925507</v>
      </c>
      <c r="P87" s="14">
        <f t="shared" ca="1" si="102"/>
        <v>1152.1756713939085</v>
      </c>
      <c r="Q87" s="14">
        <f t="shared" ca="1" si="102"/>
        <v>1180.9902707797532</v>
      </c>
      <c r="R87" s="14">
        <f t="shared" ca="1" si="102"/>
        <v>1210.5254904307023</v>
      </c>
      <c r="S87" s="14">
        <f t="shared" ca="1" si="102"/>
        <v>1240.7993522376566</v>
      </c>
      <c r="T87" s="14">
        <f t="shared" ca="1" si="102"/>
        <v>1271.8303287984527</v>
      </c>
      <c r="U87" s="14">
        <f t="shared" ca="1" si="102"/>
        <v>1303.6373546895293</v>
      </c>
      <c r="V87" s="14">
        <f t="shared" ca="1" si="102"/>
        <v>1336.2398380194857</v>
      </c>
      <c r="W87" s="14"/>
      <c r="X87" s="14"/>
      <c r="Y87" s="14"/>
      <c r="Z87" s="14"/>
      <c r="AE87" s="13"/>
    </row>
    <row r="88" spans="1:33" x14ac:dyDescent="0.35">
      <c r="B88" t="s">
        <v>90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E88" s="13"/>
    </row>
    <row r="89" spans="1:33" x14ac:dyDescent="0.35">
      <c r="B89" t="s">
        <v>109</v>
      </c>
      <c r="F89" s="14">
        <f ca="1">-F96</f>
        <v>22.507973472383942</v>
      </c>
      <c r="G89" s="14">
        <f t="shared" ref="G89:V89" ca="1" si="103">-G96</f>
        <v>23.07087221664343</v>
      </c>
      <c r="H89" s="14">
        <f t="shared" ca="1" si="103"/>
        <v>23.647848416462285</v>
      </c>
      <c r="I89" s="14">
        <f t="shared" ca="1" si="103"/>
        <v>24.239254132947494</v>
      </c>
      <c r="J89" s="14">
        <f t="shared" ca="1" si="103"/>
        <v>24.845450231852777</v>
      </c>
      <c r="K89" s="14">
        <f t="shared" ca="1" si="103"/>
        <v>25.466806603772753</v>
      </c>
      <c r="L89" s="14">
        <f t="shared" ca="1" si="103"/>
        <v>26.103702389843921</v>
      </c>
      <c r="M89" s="14">
        <f t="shared" ca="1" si="103"/>
        <v>26.756526213090158</v>
      </c>
      <c r="N89" s="14">
        <f t="shared" ca="1" si="103"/>
        <v>27.425676415553912</v>
      </c>
      <c r="O89" s="14">
        <f t="shared" ca="1" si="103"/>
        <v>28.111561301357767</v>
      </c>
      <c r="P89" s="14">
        <f t="shared" ca="1" si="103"/>
        <v>28.814599385844723</v>
      </c>
      <c r="Q89" s="14">
        <f t="shared" ca="1" si="103"/>
        <v>29.535219650949131</v>
      </c>
      <c r="R89" s="14">
        <f t="shared" ca="1" si="103"/>
        <v>30.273861806954233</v>
      </c>
      <c r="S89" s="14">
        <f t="shared" ca="1" si="103"/>
        <v>31.030976560795946</v>
      </c>
      <c r="T89" s="14">
        <f t="shared" ca="1" si="103"/>
        <v>31.807025891076577</v>
      </c>
      <c r="U89" s="14">
        <f t="shared" ca="1" si="103"/>
        <v>32.602483329956328</v>
      </c>
      <c r="V89" s="14">
        <f t="shared" ca="1" si="103"/>
        <v>33.417834252094671</v>
      </c>
      <c r="W89" s="14"/>
      <c r="X89" s="14"/>
      <c r="Y89" s="14"/>
      <c r="Z89" s="14"/>
      <c r="AE89" s="13"/>
    </row>
    <row r="90" spans="1:33" x14ac:dyDescent="0.35">
      <c r="B90" s="8" t="s">
        <v>110</v>
      </c>
      <c r="C90" s="8"/>
      <c r="D90" s="8"/>
      <c r="E90" s="47">
        <f ca="1">$AE$56</f>
        <v>900</v>
      </c>
      <c r="F90" s="15">
        <f ca="1">SUM(F87:F89)</f>
        <v>922.50797347238392</v>
      </c>
      <c r="G90" s="15">
        <f t="shared" ref="G90" ca="1" si="104">SUM(G87:G89)</f>
        <v>945.57884568902739</v>
      </c>
      <c r="H90" s="15">
        <f t="shared" ref="H90" ca="1" si="105">SUM(H87:H89)</f>
        <v>969.22669410548963</v>
      </c>
      <c r="I90" s="15">
        <f t="shared" ref="I90" ca="1" si="106">SUM(I87:I89)</f>
        <v>993.46594823843714</v>
      </c>
      <c r="J90" s="15">
        <f t="shared" ref="J90" ca="1" si="107">SUM(J87:J89)</f>
        <v>1018.3113984702899</v>
      </c>
      <c r="K90" s="15">
        <f t="shared" ref="K90" ca="1" si="108">SUM(K87:K89)</f>
        <v>1043.7782050740627</v>
      </c>
      <c r="L90" s="15">
        <f t="shared" ref="L90" ca="1" si="109">SUM(L87:L89)</f>
        <v>1069.8819074639066</v>
      </c>
      <c r="M90" s="15">
        <f t="shared" ref="M90" ca="1" si="110">SUM(M87:M89)</f>
        <v>1096.6384336769968</v>
      </c>
      <c r="N90" s="15">
        <f t="shared" ref="N90" ca="1" si="111">SUM(N87:N89)</f>
        <v>1124.0641100925507</v>
      </c>
      <c r="O90" s="15">
        <f t="shared" ref="O90" ca="1" si="112">SUM(O87:O89)</f>
        <v>1152.1756713939085</v>
      </c>
      <c r="P90" s="15">
        <f t="shared" ref="P90" ca="1" si="113">SUM(P87:P89)</f>
        <v>1180.9902707797532</v>
      </c>
      <c r="Q90" s="15">
        <f t="shared" ref="Q90" ca="1" si="114">SUM(Q87:Q89)</f>
        <v>1210.5254904307023</v>
      </c>
      <c r="R90" s="15">
        <f t="shared" ref="R90" ca="1" si="115">SUM(R87:R89)</f>
        <v>1240.7993522376566</v>
      </c>
      <c r="S90" s="15">
        <f t="shared" ref="S90" ca="1" si="116">SUM(S87:S89)</f>
        <v>1271.8303287984527</v>
      </c>
      <c r="T90" s="15">
        <f t="shared" ref="T90" ca="1" si="117">SUM(T87:T89)</f>
        <v>1303.6373546895293</v>
      </c>
      <c r="U90" s="15">
        <f t="shared" ref="U90" ca="1" si="118">SUM(U87:U89)</f>
        <v>1336.2398380194857</v>
      </c>
      <c r="V90" s="15">
        <f t="shared" ref="V90" ca="1" si="119">SUM(V87:V89)</f>
        <v>1369.6576722715804</v>
      </c>
      <c r="W90" s="49"/>
      <c r="X90" s="49"/>
      <c r="Y90" s="49"/>
      <c r="Z90" s="49"/>
      <c r="AE90" s="13"/>
    </row>
    <row r="91" spans="1:33" x14ac:dyDescent="0.35"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E91" s="13"/>
    </row>
    <row r="92" spans="1:33" x14ac:dyDescent="0.35">
      <c r="B92" t="s">
        <v>111</v>
      </c>
      <c r="F92" s="14">
        <f ca="1">AVERAGE(F90,F87)</f>
        <v>911.25398673619202</v>
      </c>
      <c r="G92" s="14">
        <f t="shared" ref="G92:V92" ca="1" si="120">AVERAGE(G90,G87)</f>
        <v>934.04340958070566</v>
      </c>
      <c r="H92" s="14">
        <f t="shared" ca="1" si="120"/>
        <v>957.40276989725851</v>
      </c>
      <c r="I92" s="14">
        <f t="shared" ca="1" si="120"/>
        <v>981.34632117196338</v>
      </c>
      <c r="J92" s="14">
        <f t="shared" ca="1" si="120"/>
        <v>1005.8886733543635</v>
      </c>
      <c r="K92" s="14">
        <f t="shared" ca="1" si="120"/>
        <v>1031.0448017721762</v>
      </c>
      <c r="L92" s="14">
        <f t="shared" ca="1" si="120"/>
        <v>1056.8300562689847</v>
      </c>
      <c r="M92" s="14">
        <f t="shared" ca="1" si="120"/>
        <v>1083.2601705704517</v>
      </c>
      <c r="N92" s="14">
        <f t="shared" ca="1" si="120"/>
        <v>1110.3512718847737</v>
      </c>
      <c r="O92" s="14">
        <f t="shared" ca="1" si="120"/>
        <v>1138.1198907432295</v>
      </c>
      <c r="P92" s="14">
        <f t="shared" ca="1" si="120"/>
        <v>1166.5829710868309</v>
      </c>
      <c r="Q92" s="14">
        <f t="shared" ca="1" si="120"/>
        <v>1195.7578806052279</v>
      </c>
      <c r="R92" s="14">
        <f t="shared" ca="1" si="120"/>
        <v>1225.6624213341795</v>
      </c>
      <c r="S92" s="14">
        <f t="shared" ca="1" si="120"/>
        <v>1256.3148405180546</v>
      </c>
      <c r="T92" s="14">
        <f t="shared" ca="1" si="120"/>
        <v>1287.733841743991</v>
      </c>
      <c r="U92" s="14">
        <f t="shared" ca="1" si="120"/>
        <v>1319.9385963545074</v>
      </c>
      <c r="V92" s="14">
        <f t="shared" ca="1" si="120"/>
        <v>1352.9487551455331</v>
      </c>
      <c r="W92" s="14"/>
      <c r="X92" s="14"/>
      <c r="Y92" s="14"/>
      <c r="Z92" s="14"/>
      <c r="AE92" s="13"/>
    </row>
    <row r="93" spans="1:33" x14ac:dyDescent="0.35">
      <c r="B93" t="s">
        <v>2</v>
      </c>
      <c r="F93" s="25">
        <f t="shared" ref="F93:V93" ca="1" si="121">$AE$57/4</f>
        <v>2.47E-2</v>
      </c>
      <c r="G93" s="25">
        <f t="shared" ca="1" si="121"/>
        <v>2.47E-2</v>
      </c>
      <c r="H93" s="25">
        <f t="shared" ca="1" si="121"/>
        <v>2.47E-2</v>
      </c>
      <c r="I93" s="25">
        <f t="shared" ca="1" si="121"/>
        <v>2.47E-2</v>
      </c>
      <c r="J93" s="25">
        <f t="shared" ca="1" si="121"/>
        <v>2.47E-2</v>
      </c>
      <c r="K93" s="25">
        <f t="shared" ca="1" si="121"/>
        <v>2.47E-2</v>
      </c>
      <c r="L93" s="25">
        <f t="shared" ca="1" si="121"/>
        <v>2.47E-2</v>
      </c>
      <c r="M93" s="25">
        <f t="shared" ca="1" si="121"/>
        <v>2.47E-2</v>
      </c>
      <c r="N93" s="25">
        <f t="shared" ca="1" si="121"/>
        <v>2.47E-2</v>
      </c>
      <c r="O93" s="25">
        <f t="shared" ca="1" si="121"/>
        <v>2.47E-2</v>
      </c>
      <c r="P93" s="25">
        <f t="shared" ca="1" si="121"/>
        <v>2.47E-2</v>
      </c>
      <c r="Q93" s="25">
        <f t="shared" ca="1" si="121"/>
        <v>2.47E-2</v>
      </c>
      <c r="R93" s="25">
        <f t="shared" ca="1" si="121"/>
        <v>2.47E-2</v>
      </c>
      <c r="S93" s="25">
        <f t="shared" ca="1" si="121"/>
        <v>2.47E-2</v>
      </c>
      <c r="T93" s="25">
        <f t="shared" ca="1" si="121"/>
        <v>2.47E-2</v>
      </c>
      <c r="U93" s="25">
        <f t="shared" ca="1" si="121"/>
        <v>2.47E-2</v>
      </c>
      <c r="V93" s="25">
        <f t="shared" ca="1" si="121"/>
        <v>2.47E-2</v>
      </c>
      <c r="W93" s="25"/>
      <c r="X93" s="25"/>
      <c r="Y93" s="25"/>
      <c r="Z93" s="25"/>
      <c r="AE93" s="13"/>
    </row>
    <row r="94" spans="1:33" x14ac:dyDescent="0.35">
      <c r="B94" t="s">
        <v>112</v>
      </c>
      <c r="F94" s="14">
        <f ca="1">-F92*F93</f>
        <v>-22.507973472383942</v>
      </c>
      <c r="G94" s="14">
        <f t="shared" ref="G94" ca="1" si="122">-G92*G93</f>
        <v>-23.07087221664343</v>
      </c>
      <c r="H94" s="14">
        <f t="shared" ref="H94" ca="1" si="123">-H92*H93</f>
        <v>-23.647848416462285</v>
      </c>
      <c r="I94" s="14">
        <f t="shared" ref="I94" ca="1" si="124">-I92*I93</f>
        <v>-24.239254132947494</v>
      </c>
      <c r="J94" s="14">
        <f t="shared" ref="J94" ca="1" si="125">-J92*J93</f>
        <v>-24.845450231852777</v>
      </c>
      <c r="K94" s="14">
        <f t="shared" ref="K94" ca="1" si="126">-K92*K93</f>
        <v>-25.466806603772753</v>
      </c>
      <c r="L94" s="14">
        <f t="shared" ref="L94" ca="1" si="127">-L92*L93</f>
        <v>-26.103702389843921</v>
      </c>
      <c r="M94" s="14">
        <f t="shared" ref="M94" ca="1" si="128">-M92*M93</f>
        <v>-26.756526213090158</v>
      </c>
      <c r="N94" s="14">
        <f t="shared" ref="N94" ca="1" si="129">-N92*N93</f>
        <v>-27.425676415553912</v>
      </c>
      <c r="O94" s="14">
        <f t="shared" ref="O94" ca="1" si="130">-O92*O93</f>
        <v>-28.111561301357767</v>
      </c>
      <c r="P94" s="14">
        <f t="shared" ref="P94" ca="1" si="131">-P92*P93</f>
        <v>-28.814599385844723</v>
      </c>
      <c r="Q94" s="14">
        <f t="shared" ref="Q94" ca="1" si="132">-Q92*Q93</f>
        <v>-29.535219650949131</v>
      </c>
      <c r="R94" s="14">
        <f t="shared" ref="R94" ca="1" si="133">-R92*R93</f>
        <v>-30.273861806954233</v>
      </c>
      <c r="S94" s="14">
        <f t="shared" ref="S94" ca="1" si="134">-S92*S93</f>
        <v>-31.030976560795946</v>
      </c>
      <c r="T94" s="14">
        <f t="shared" ref="T94" ca="1" si="135">-T92*T93</f>
        <v>-31.807025891076577</v>
      </c>
      <c r="U94" s="14">
        <f t="shared" ref="U94" ca="1" si="136">-U92*U93</f>
        <v>-32.602483329956328</v>
      </c>
      <c r="V94" s="14">
        <f t="shared" ref="V94" ca="1" si="137">-V92*V93</f>
        <v>-33.417834252094671</v>
      </c>
      <c r="W94" s="14"/>
      <c r="X94" s="14"/>
      <c r="Y94" s="14"/>
      <c r="Z94" s="14"/>
      <c r="AE94" s="13"/>
    </row>
    <row r="95" spans="1:33" x14ac:dyDescent="0.35">
      <c r="B95" t="s">
        <v>86</v>
      </c>
      <c r="F95" s="14">
        <f ca="1">F94-F96</f>
        <v>0</v>
      </c>
      <c r="G95" s="14">
        <f t="shared" ref="G95" ca="1" si="138">G94-G96</f>
        <v>0</v>
      </c>
      <c r="H95" s="14">
        <f t="shared" ref="H95" ca="1" si="139">H94-H96</f>
        <v>0</v>
      </c>
      <c r="I95" s="14">
        <f t="shared" ref="I95" ca="1" si="140">I94-I96</f>
        <v>0</v>
      </c>
      <c r="J95" s="14">
        <f t="shared" ref="J95" ca="1" si="141">J94-J96</f>
        <v>0</v>
      </c>
      <c r="K95" s="14">
        <f t="shared" ref="K95" ca="1" si="142">K94-K96</f>
        <v>0</v>
      </c>
      <c r="L95" s="14">
        <f t="shared" ref="L95" ca="1" si="143">L94-L96</f>
        <v>0</v>
      </c>
      <c r="M95" s="14">
        <f t="shared" ref="M95" ca="1" si="144">M94-M96</f>
        <v>0</v>
      </c>
      <c r="N95" s="14">
        <f t="shared" ref="N95" ca="1" si="145">N94-N96</f>
        <v>0</v>
      </c>
      <c r="O95" s="14">
        <f t="shared" ref="O95" ca="1" si="146">O94-O96</f>
        <v>0</v>
      </c>
      <c r="P95" s="14">
        <f t="shared" ref="P95" ca="1" si="147">P94-P96</f>
        <v>0</v>
      </c>
      <c r="Q95" s="14">
        <f t="shared" ref="Q95" ca="1" si="148">Q94-Q96</f>
        <v>0</v>
      </c>
      <c r="R95" s="14">
        <f t="shared" ref="R95" ca="1" si="149">R94-R96</f>
        <v>0</v>
      </c>
      <c r="S95" s="14">
        <f t="shared" ref="S95" ca="1" si="150">S94-S96</f>
        <v>0</v>
      </c>
      <c r="T95" s="14">
        <f t="shared" ref="T95" ca="1" si="151">T94-T96</f>
        <v>0</v>
      </c>
      <c r="U95" s="14">
        <f t="shared" ref="U95" ca="1" si="152">U94-U96</f>
        <v>0</v>
      </c>
      <c r="V95" s="14">
        <f t="shared" ref="V95" ca="1" si="153">V94-V96</f>
        <v>0</v>
      </c>
      <c r="W95" s="14"/>
      <c r="X95" s="14"/>
      <c r="Y95" s="14"/>
      <c r="Z95" s="14"/>
      <c r="AE95" s="13"/>
    </row>
    <row r="96" spans="1:33" x14ac:dyDescent="0.35">
      <c r="B96" t="s">
        <v>113</v>
      </c>
      <c r="F96" s="14">
        <f t="shared" ref="F96:V96" ca="1" si="154">F94*$AE$58</f>
        <v>-22.507973472383942</v>
      </c>
      <c r="G96" s="14">
        <f t="shared" ca="1" si="154"/>
        <v>-23.07087221664343</v>
      </c>
      <c r="H96" s="14">
        <f t="shared" ca="1" si="154"/>
        <v>-23.647848416462285</v>
      </c>
      <c r="I96" s="14">
        <f t="shared" ca="1" si="154"/>
        <v>-24.239254132947494</v>
      </c>
      <c r="J96" s="14">
        <f t="shared" ca="1" si="154"/>
        <v>-24.845450231852777</v>
      </c>
      <c r="K96" s="14">
        <f t="shared" ca="1" si="154"/>
        <v>-25.466806603772753</v>
      </c>
      <c r="L96" s="14">
        <f t="shared" ca="1" si="154"/>
        <v>-26.103702389843921</v>
      </c>
      <c r="M96" s="14">
        <f t="shared" ca="1" si="154"/>
        <v>-26.756526213090158</v>
      </c>
      <c r="N96" s="14">
        <f t="shared" ca="1" si="154"/>
        <v>-27.425676415553912</v>
      </c>
      <c r="O96" s="14">
        <f t="shared" ca="1" si="154"/>
        <v>-28.111561301357767</v>
      </c>
      <c r="P96" s="14">
        <f t="shared" ca="1" si="154"/>
        <v>-28.814599385844723</v>
      </c>
      <c r="Q96" s="14">
        <f t="shared" ca="1" si="154"/>
        <v>-29.535219650949131</v>
      </c>
      <c r="R96" s="14">
        <f t="shared" ca="1" si="154"/>
        <v>-30.273861806954233</v>
      </c>
      <c r="S96" s="14">
        <f t="shared" ca="1" si="154"/>
        <v>-31.030976560795946</v>
      </c>
      <c r="T96" s="14">
        <f t="shared" ca="1" si="154"/>
        <v>-31.807025891076577</v>
      </c>
      <c r="U96" s="14">
        <f t="shared" ca="1" si="154"/>
        <v>-32.602483329956328</v>
      </c>
      <c r="V96" s="14">
        <f t="shared" ca="1" si="154"/>
        <v>-33.417834252094671</v>
      </c>
      <c r="W96" s="14"/>
      <c r="X96" s="14"/>
      <c r="Y96" s="14"/>
      <c r="Z96" s="14"/>
      <c r="AE96" s="13"/>
    </row>
    <row r="97" spans="1:31" x14ac:dyDescent="0.35">
      <c r="AE97" s="13"/>
    </row>
    <row r="98" spans="1:31" x14ac:dyDescent="0.35">
      <c r="A98" t="s">
        <v>0</v>
      </c>
      <c r="B98" s="4" t="s">
        <v>114</v>
      </c>
      <c r="AE98" s="13"/>
    </row>
    <row r="99" spans="1:31" x14ac:dyDescent="0.35">
      <c r="B99" s="4" t="s">
        <v>108</v>
      </c>
      <c r="F99" s="14">
        <f ca="1">E102</f>
        <v>1425</v>
      </c>
      <c r="G99" s="14">
        <f t="shared" ref="G99:V99" ca="1" si="155">F102</f>
        <v>1462.172343928074</v>
      </c>
      <c r="H99" s="14">
        <f t="shared" ca="1" si="155"/>
        <v>1500.3143602442933</v>
      </c>
      <c r="I99" s="14">
        <f t="shared" ca="1" si="155"/>
        <v>1539.4513436823488</v>
      </c>
      <c r="J99" s="14">
        <f t="shared" ca="1" si="155"/>
        <v>1579.6092488106967</v>
      </c>
      <c r="K99" s="14">
        <f t="shared" ca="1" si="155"/>
        <v>1620.8147072449126</v>
      </c>
      <c r="L99" s="14">
        <f t="shared" ca="1" si="155"/>
        <v>1663.0950453090447</v>
      </c>
      <c r="M99" s="14">
        <f t="shared" ca="1" si="155"/>
        <v>1706.4783021576789</v>
      </c>
      <c r="N99" s="14">
        <f t="shared" ca="1" si="155"/>
        <v>1750.9932483707321</v>
      </c>
      <c r="O99" s="14">
        <f t="shared" ca="1" si="155"/>
        <v>1796.6694050333092</v>
      </c>
      <c r="P99" s="14">
        <f t="shared" ca="1" si="155"/>
        <v>1843.5370633132713</v>
      </c>
      <c r="Q99" s="14">
        <f t="shared" ca="1" si="155"/>
        <v>1891.6273045495045</v>
      </c>
      <c r="R99" s="14">
        <f t="shared" ca="1" si="155"/>
        <v>1940.9720208642061</v>
      </c>
      <c r="S99" s="14">
        <f t="shared" ca="1" si="155"/>
        <v>1991.6039363128609</v>
      </c>
      <c r="T99" s="14">
        <f t="shared" ca="1" si="155"/>
        <v>2043.5566285859329</v>
      </c>
      <c r="U99" s="14">
        <f t="shared" ca="1" si="155"/>
        <v>2096.8645512766639</v>
      </c>
      <c r="V99" s="14">
        <f t="shared" ca="1" si="155"/>
        <v>2151.5630567297462</v>
      </c>
      <c r="W99" s="14"/>
      <c r="X99" s="14"/>
      <c r="Y99" s="14"/>
      <c r="Z99" s="14"/>
      <c r="AE99" s="13"/>
    </row>
    <row r="100" spans="1:31" x14ac:dyDescent="0.35">
      <c r="B100" t="s">
        <v>90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E100" s="13"/>
    </row>
    <row r="101" spans="1:31" x14ac:dyDescent="0.35">
      <c r="B101" t="s">
        <v>109</v>
      </c>
      <c r="F101" s="14">
        <f ca="1">-F108</f>
        <v>37.17234392807395</v>
      </c>
      <c r="G101" s="14">
        <f t="shared" ref="G101:V101" ca="1" si="156">-G108</f>
        <v>38.142016316219227</v>
      </c>
      <c r="H101" s="14">
        <f t="shared" ca="1" si="156"/>
        <v>39.136983438055516</v>
      </c>
      <c r="I101" s="14">
        <f t="shared" ca="1" si="156"/>
        <v>40.157905128347956</v>
      </c>
      <c r="J101" s="14">
        <f t="shared" ca="1" si="156"/>
        <v>41.20545843421597</v>
      </c>
      <c r="K101" s="14">
        <f t="shared" ca="1" si="156"/>
        <v>42.280338064132195</v>
      </c>
      <c r="L101" s="14">
        <f t="shared" ca="1" si="156"/>
        <v>43.383256848634062</v>
      </c>
      <c r="M101" s="14">
        <f t="shared" ca="1" si="156"/>
        <v>44.514946213053292</v>
      </c>
      <c r="N101" s="14">
        <f t="shared" ca="1" si="156"/>
        <v>45.676156662577029</v>
      </c>
      <c r="O101" s="14">
        <f t="shared" ca="1" si="156"/>
        <v>46.867658279962221</v>
      </c>
      <c r="P101" s="14">
        <f t="shared" ca="1" si="156"/>
        <v>48.09024123623324</v>
      </c>
      <c r="Q101" s="14">
        <f t="shared" ca="1" si="156"/>
        <v>49.344716314701522</v>
      </c>
      <c r="R101" s="14">
        <f t="shared" ca="1" si="156"/>
        <v>50.63191544865473</v>
      </c>
      <c r="S101" s="14">
        <f t="shared" ca="1" si="156"/>
        <v>51.952692273071968</v>
      </c>
      <c r="T101" s="14">
        <f t="shared" ca="1" si="156"/>
        <v>53.307922690730926</v>
      </c>
      <c r="U101" s="14">
        <f t="shared" ca="1" si="156"/>
        <v>54.698505453082525</v>
      </c>
      <c r="V101" s="14">
        <f t="shared" ca="1" si="156"/>
        <v>56.125362756278044</v>
      </c>
      <c r="W101" s="14"/>
      <c r="X101" s="14"/>
      <c r="Y101" s="14"/>
      <c r="Z101" s="14"/>
      <c r="AE101" s="13"/>
    </row>
    <row r="102" spans="1:31" x14ac:dyDescent="0.35">
      <c r="B102" s="8" t="s">
        <v>110</v>
      </c>
      <c r="C102" s="8"/>
      <c r="D102" s="8"/>
      <c r="E102" s="47">
        <f ca="1">$AE$59</f>
        <v>1425</v>
      </c>
      <c r="F102" s="15">
        <f ca="1">SUM(F99:F101)</f>
        <v>1462.172343928074</v>
      </c>
      <c r="G102" s="15">
        <f t="shared" ref="G102" ca="1" si="157">SUM(G99:G101)</f>
        <v>1500.3143602442933</v>
      </c>
      <c r="H102" s="15">
        <f t="shared" ref="H102" ca="1" si="158">SUM(H99:H101)</f>
        <v>1539.4513436823488</v>
      </c>
      <c r="I102" s="15">
        <f t="shared" ref="I102" ca="1" si="159">SUM(I99:I101)</f>
        <v>1579.6092488106967</v>
      </c>
      <c r="J102" s="15">
        <f t="shared" ref="J102" ca="1" si="160">SUM(J99:J101)</f>
        <v>1620.8147072449126</v>
      </c>
      <c r="K102" s="15">
        <f t="shared" ref="K102" ca="1" si="161">SUM(K99:K101)</f>
        <v>1663.0950453090447</v>
      </c>
      <c r="L102" s="15">
        <f t="shared" ref="L102" ca="1" si="162">SUM(L99:L101)</f>
        <v>1706.4783021576789</v>
      </c>
      <c r="M102" s="15">
        <f t="shared" ref="M102" ca="1" si="163">SUM(M99:M101)</f>
        <v>1750.9932483707321</v>
      </c>
      <c r="N102" s="15">
        <f t="shared" ref="N102" ca="1" si="164">SUM(N99:N101)</f>
        <v>1796.6694050333092</v>
      </c>
      <c r="O102" s="15">
        <f t="shared" ref="O102" ca="1" si="165">SUM(O99:O101)</f>
        <v>1843.5370633132713</v>
      </c>
      <c r="P102" s="15">
        <f t="shared" ref="P102" ca="1" si="166">SUM(P99:P101)</f>
        <v>1891.6273045495045</v>
      </c>
      <c r="Q102" s="15">
        <f t="shared" ref="Q102" ca="1" si="167">SUM(Q99:Q101)</f>
        <v>1940.9720208642061</v>
      </c>
      <c r="R102" s="15">
        <f t="shared" ref="R102" ca="1" si="168">SUM(R99:R101)</f>
        <v>1991.6039363128609</v>
      </c>
      <c r="S102" s="15">
        <f t="shared" ref="S102" ca="1" si="169">SUM(S99:S101)</f>
        <v>2043.5566285859329</v>
      </c>
      <c r="T102" s="15">
        <f t="shared" ref="T102" ca="1" si="170">SUM(T99:T101)</f>
        <v>2096.8645512766639</v>
      </c>
      <c r="U102" s="15">
        <f t="shared" ref="U102" ca="1" si="171">SUM(U99:U101)</f>
        <v>2151.5630567297462</v>
      </c>
      <c r="V102" s="15">
        <f t="shared" ref="V102" ca="1" si="172">SUM(V99:V101)</f>
        <v>2207.6884194860245</v>
      </c>
      <c r="W102" s="49"/>
      <c r="X102" s="49"/>
      <c r="Y102" s="49"/>
      <c r="Z102" s="49"/>
      <c r="AE102" s="13"/>
    </row>
    <row r="103" spans="1:31" x14ac:dyDescent="0.35"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E103" s="13"/>
    </row>
    <row r="104" spans="1:31" x14ac:dyDescent="0.35">
      <c r="B104" t="s">
        <v>111</v>
      </c>
      <c r="F104" s="14">
        <f ca="1">AVERAGE(F102,F99)</f>
        <v>1443.586171964037</v>
      </c>
      <c r="G104" s="14">
        <f t="shared" ref="G104:V104" ca="1" si="173">AVERAGE(G102,G99)</f>
        <v>1481.2433520861837</v>
      </c>
      <c r="H104" s="14">
        <f t="shared" ca="1" si="173"/>
        <v>1519.8828519633212</v>
      </c>
      <c r="I104" s="14">
        <f t="shared" ca="1" si="173"/>
        <v>1559.5302962465228</v>
      </c>
      <c r="J104" s="14">
        <f t="shared" ca="1" si="173"/>
        <v>1600.2119780278047</v>
      </c>
      <c r="K104" s="14">
        <f t="shared" ca="1" si="173"/>
        <v>1641.9548762769787</v>
      </c>
      <c r="L104" s="14">
        <f t="shared" ca="1" si="173"/>
        <v>1684.7866737333618</v>
      </c>
      <c r="M104" s="14">
        <f t="shared" ca="1" si="173"/>
        <v>1728.7357752642056</v>
      </c>
      <c r="N104" s="14">
        <f t="shared" ca="1" si="173"/>
        <v>1773.8313267020208</v>
      </c>
      <c r="O104" s="14">
        <f t="shared" ca="1" si="173"/>
        <v>1820.1032341732903</v>
      </c>
      <c r="P104" s="14">
        <f t="shared" ca="1" si="173"/>
        <v>1867.582183931388</v>
      </c>
      <c r="Q104" s="14">
        <f t="shared" ca="1" si="173"/>
        <v>1916.2996627068553</v>
      </c>
      <c r="R104" s="14">
        <f t="shared" ca="1" si="173"/>
        <v>1966.2879785885334</v>
      </c>
      <c r="S104" s="14">
        <f t="shared" ca="1" si="173"/>
        <v>2017.5802824493969</v>
      </c>
      <c r="T104" s="14">
        <f t="shared" ca="1" si="173"/>
        <v>2070.2105899312983</v>
      </c>
      <c r="U104" s="14">
        <f t="shared" ca="1" si="173"/>
        <v>2124.213804003205</v>
      </c>
      <c r="V104" s="14">
        <f t="shared" ca="1" si="173"/>
        <v>2179.6257381078854</v>
      </c>
      <c r="W104" s="14"/>
      <c r="X104" s="14"/>
      <c r="Y104" s="14"/>
      <c r="Z104" s="14"/>
      <c r="AE104" s="13"/>
    </row>
    <row r="105" spans="1:31" x14ac:dyDescent="0.35">
      <c r="B105" t="s">
        <v>2</v>
      </c>
      <c r="F105" s="25">
        <f t="shared" ref="F105:V105" ca="1" si="174">$AE$60/4</f>
        <v>2.5749999999999999E-2</v>
      </c>
      <c r="G105" s="25">
        <f t="shared" ca="1" si="174"/>
        <v>2.5749999999999999E-2</v>
      </c>
      <c r="H105" s="25">
        <f t="shared" ca="1" si="174"/>
        <v>2.5749999999999999E-2</v>
      </c>
      <c r="I105" s="25">
        <f t="shared" ca="1" si="174"/>
        <v>2.5749999999999999E-2</v>
      </c>
      <c r="J105" s="25">
        <f t="shared" ca="1" si="174"/>
        <v>2.5749999999999999E-2</v>
      </c>
      <c r="K105" s="25">
        <f t="shared" ca="1" si="174"/>
        <v>2.5749999999999999E-2</v>
      </c>
      <c r="L105" s="25">
        <f t="shared" ca="1" si="174"/>
        <v>2.5749999999999999E-2</v>
      </c>
      <c r="M105" s="25">
        <f t="shared" ca="1" si="174"/>
        <v>2.5749999999999999E-2</v>
      </c>
      <c r="N105" s="25">
        <f t="shared" ca="1" si="174"/>
        <v>2.5749999999999999E-2</v>
      </c>
      <c r="O105" s="25">
        <f t="shared" ca="1" si="174"/>
        <v>2.5749999999999999E-2</v>
      </c>
      <c r="P105" s="25">
        <f t="shared" ca="1" si="174"/>
        <v>2.5749999999999999E-2</v>
      </c>
      <c r="Q105" s="25">
        <f t="shared" ca="1" si="174"/>
        <v>2.5749999999999999E-2</v>
      </c>
      <c r="R105" s="25">
        <f t="shared" ca="1" si="174"/>
        <v>2.5749999999999999E-2</v>
      </c>
      <c r="S105" s="25">
        <f t="shared" ca="1" si="174"/>
        <v>2.5749999999999999E-2</v>
      </c>
      <c r="T105" s="25">
        <f t="shared" ca="1" si="174"/>
        <v>2.5749999999999999E-2</v>
      </c>
      <c r="U105" s="25">
        <f t="shared" ca="1" si="174"/>
        <v>2.5749999999999999E-2</v>
      </c>
      <c r="V105" s="25">
        <f t="shared" ca="1" si="174"/>
        <v>2.5749999999999999E-2</v>
      </c>
      <c r="W105" s="25"/>
      <c r="X105" s="25"/>
      <c r="Y105" s="25"/>
      <c r="Z105" s="25"/>
      <c r="AE105" s="13"/>
    </row>
    <row r="106" spans="1:31" x14ac:dyDescent="0.35">
      <c r="B106" t="s">
        <v>112</v>
      </c>
      <c r="F106" s="14">
        <f ca="1">-F104*F105</f>
        <v>-37.17234392807395</v>
      </c>
      <c r="G106" s="14">
        <f t="shared" ref="G106" ca="1" si="175">-G104*G105</f>
        <v>-38.142016316219227</v>
      </c>
      <c r="H106" s="14">
        <f t="shared" ref="H106" ca="1" si="176">-H104*H105</f>
        <v>-39.136983438055516</v>
      </c>
      <c r="I106" s="14">
        <f t="shared" ref="I106" ca="1" si="177">-I104*I105</f>
        <v>-40.157905128347956</v>
      </c>
      <c r="J106" s="14">
        <f t="shared" ref="J106" ca="1" si="178">-J104*J105</f>
        <v>-41.20545843421597</v>
      </c>
      <c r="K106" s="14">
        <f t="shared" ref="K106" ca="1" si="179">-K104*K105</f>
        <v>-42.280338064132195</v>
      </c>
      <c r="L106" s="14">
        <f t="shared" ref="L106" ca="1" si="180">-L104*L105</f>
        <v>-43.383256848634062</v>
      </c>
      <c r="M106" s="14">
        <f t="shared" ref="M106" ca="1" si="181">-M104*M105</f>
        <v>-44.514946213053292</v>
      </c>
      <c r="N106" s="14">
        <f t="shared" ref="N106" ca="1" si="182">-N104*N105</f>
        <v>-45.676156662577029</v>
      </c>
      <c r="O106" s="14">
        <f t="shared" ref="O106" ca="1" si="183">-O104*O105</f>
        <v>-46.867658279962221</v>
      </c>
      <c r="P106" s="14">
        <f t="shared" ref="P106" ca="1" si="184">-P104*P105</f>
        <v>-48.09024123623324</v>
      </c>
      <c r="Q106" s="14">
        <f t="shared" ref="Q106" ca="1" si="185">-Q104*Q105</f>
        <v>-49.344716314701522</v>
      </c>
      <c r="R106" s="14">
        <f t="shared" ref="R106" ca="1" si="186">-R104*R105</f>
        <v>-50.63191544865473</v>
      </c>
      <c r="S106" s="14">
        <f t="shared" ref="S106" ca="1" si="187">-S104*S105</f>
        <v>-51.952692273071968</v>
      </c>
      <c r="T106" s="14">
        <f t="shared" ref="T106" ca="1" si="188">-T104*T105</f>
        <v>-53.307922690730926</v>
      </c>
      <c r="U106" s="14">
        <f t="shared" ref="U106" ca="1" si="189">-U104*U105</f>
        <v>-54.698505453082525</v>
      </c>
      <c r="V106" s="14">
        <f t="shared" ref="V106" ca="1" si="190">-V104*V105</f>
        <v>-56.125362756278044</v>
      </c>
      <c r="W106" s="14"/>
      <c r="X106" s="14"/>
      <c r="Y106" s="14"/>
      <c r="Z106" s="14"/>
      <c r="AE106" s="13"/>
    </row>
    <row r="107" spans="1:31" x14ac:dyDescent="0.35">
      <c r="B107" t="s">
        <v>86</v>
      </c>
      <c r="F107" s="14">
        <f ca="1">F106-F108</f>
        <v>0</v>
      </c>
      <c r="G107" s="14">
        <f t="shared" ref="G107" ca="1" si="191">G106-G108</f>
        <v>0</v>
      </c>
      <c r="H107" s="14">
        <f t="shared" ref="H107" ca="1" si="192">H106-H108</f>
        <v>0</v>
      </c>
      <c r="I107" s="14">
        <f t="shared" ref="I107" ca="1" si="193">I106-I108</f>
        <v>0</v>
      </c>
      <c r="J107" s="14">
        <f t="shared" ref="J107" ca="1" si="194">J106-J108</f>
        <v>0</v>
      </c>
      <c r="K107" s="14">
        <f t="shared" ref="K107" ca="1" si="195">K106-K108</f>
        <v>0</v>
      </c>
      <c r="L107" s="14">
        <f t="shared" ref="L107" ca="1" si="196">L106-L108</f>
        <v>0</v>
      </c>
      <c r="M107" s="14">
        <f t="shared" ref="M107" ca="1" si="197">M106-M108</f>
        <v>0</v>
      </c>
      <c r="N107" s="14">
        <f t="shared" ref="N107" ca="1" si="198">N106-N108</f>
        <v>0</v>
      </c>
      <c r="O107" s="14">
        <f t="shared" ref="O107" ca="1" si="199">O106-O108</f>
        <v>0</v>
      </c>
      <c r="P107" s="14">
        <f t="shared" ref="P107" ca="1" si="200">P106-P108</f>
        <v>0</v>
      </c>
      <c r="Q107" s="14">
        <f t="shared" ref="Q107" ca="1" si="201">Q106-Q108</f>
        <v>0</v>
      </c>
      <c r="R107" s="14">
        <f t="shared" ref="R107" ca="1" si="202">R106-R108</f>
        <v>0</v>
      </c>
      <c r="S107" s="14">
        <f t="shared" ref="S107" ca="1" si="203">S106-S108</f>
        <v>0</v>
      </c>
      <c r="T107" s="14">
        <f t="shared" ref="T107" ca="1" si="204">T106-T108</f>
        <v>0</v>
      </c>
      <c r="U107" s="14">
        <f t="shared" ref="U107" ca="1" si="205">U106-U108</f>
        <v>0</v>
      </c>
      <c r="V107" s="14">
        <f t="shared" ref="V107" ca="1" si="206">V106-V108</f>
        <v>0</v>
      </c>
      <c r="W107" s="14"/>
      <c r="X107" s="14"/>
      <c r="Y107" s="14"/>
      <c r="Z107" s="14"/>
      <c r="AE107" s="13"/>
    </row>
    <row r="108" spans="1:31" x14ac:dyDescent="0.35">
      <c r="B108" t="s">
        <v>113</v>
      </c>
      <c r="F108" s="14">
        <f t="shared" ref="F108:V108" ca="1" si="207">F106*$AE$61</f>
        <v>-37.17234392807395</v>
      </c>
      <c r="G108" s="14">
        <f t="shared" ca="1" si="207"/>
        <v>-38.142016316219227</v>
      </c>
      <c r="H108" s="14">
        <f t="shared" ca="1" si="207"/>
        <v>-39.136983438055516</v>
      </c>
      <c r="I108" s="14">
        <f t="shared" ca="1" si="207"/>
        <v>-40.157905128347956</v>
      </c>
      <c r="J108" s="14">
        <f t="shared" ca="1" si="207"/>
        <v>-41.20545843421597</v>
      </c>
      <c r="K108" s="14">
        <f t="shared" ca="1" si="207"/>
        <v>-42.280338064132195</v>
      </c>
      <c r="L108" s="14">
        <f t="shared" ca="1" si="207"/>
        <v>-43.383256848634062</v>
      </c>
      <c r="M108" s="14">
        <f t="shared" ca="1" si="207"/>
        <v>-44.514946213053292</v>
      </c>
      <c r="N108" s="14">
        <f t="shared" ca="1" si="207"/>
        <v>-45.676156662577029</v>
      </c>
      <c r="O108" s="14">
        <f t="shared" ca="1" si="207"/>
        <v>-46.867658279962221</v>
      </c>
      <c r="P108" s="14">
        <f t="shared" ca="1" si="207"/>
        <v>-48.09024123623324</v>
      </c>
      <c r="Q108" s="14">
        <f t="shared" ca="1" si="207"/>
        <v>-49.344716314701522</v>
      </c>
      <c r="R108" s="14">
        <f t="shared" ca="1" si="207"/>
        <v>-50.63191544865473</v>
      </c>
      <c r="S108" s="14">
        <f t="shared" ca="1" si="207"/>
        <v>-51.952692273071968</v>
      </c>
      <c r="T108" s="14">
        <f t="shared" ca="1" si="207"/>
        <v>-53.307922690730926</v>
      </c>
      <c r="U108" s="14">
        <f t="shared" ca="1" si="207"/>
        <v>-54.698505453082525</v>
      </c>
      <c r="V108" s="14">
        <f t="shared" ca="1" si="207"/>
        <v>-56.125362756278044</v>
      </c>
      <c r="W108" s="14"/>
      <c r="X108" s="14"/>
      <c r="Y108" s="14"/>
      <c r="Z108" s="14"/>
      <c r="AE108" s="13"/>
    </row>
    <row r="109" spans="1:31" x14ac:dyDescent="0.35">
      <c r="AE109" s="13"/>
    </row>
    <row r="110" spans="1:31" x14ac:dyDescent="0.35">
      <c r="A110" t="s">
        <v>0</v>
      </c>
      <c r="B110" s="4" t="s">
        <v>10</v>
      </c>
      <c r="AE110" s="13"/>
    </row>
    <row r="111" spans="1:31" x14ac:dyDescent="0.35">
      <c r="B111" s="4" t="s">
        <v>108</v>
      </c>
      <c r="F111" s="14">
        <f ca="1">E114</f>
        <v>4000</v>
      </c>
      <c r="G111" s="14">
        <f t="shared" ref="G111:R111" ca="1" si="208">F114</f>
        <v>4116.6772352568169</v>
      </c>
      <c r="H111" s="14">
        <f t="shared" ca="1" si="208"/>
        <v>4236.7578648204271</v>
      </c>
      <c r="I111" s="14">
        <f t="shared" ca="1" si="208"/>
        <v>4360.3411633503829</v>
      </c>
      <c r="J111" s="14">
        <f t="shared" ca="1" si="208"/>
        <v>4487.5293012794364</v>
      </c>
      <c r="K111" s="14">
        <f t="shared" ca="1" si="208"/>
        <v>4618.4274292812461</v>
      </c>
      <c r="L111" s="14">
        <f t="shared" ca="1" si="208"/>
        <v>4753.1437652019422</v>
      </c>
      <c r="M111" s="14">
        <f t="shared" ca="1" si="208"/>
        <v>4891.7896835274269</v>
      </c>
      <c r="N111" s="14">
        <f t="shared" ca="1" si="208"/>
        <v>5034.4798074603768</v>
      </c>
      <c r="O111" s="14">
        <f t="shared" ca="1" si="208"/>
        <v>5181.3321036830639</v>
      </c>
      <c r="P111" s="14">
        <f t="shared" ca="1" si="208"/>
        <v>5332.4679798843454</v>
      </c>
      <c r="Q111" s="14">
        <f t="shared" ca="1" si="208"/>
        <v>5488.0123851314474</v>
      </c>
      <c r="R111" s="14">
        <f t="shared" ca="1" si="208"/>
        <v>5648.0939131695241</v>
      </c>
      <c r="S111" s="14"/>
      <c r="T111" s="14"/>
      <c r="U111" s="14"/>
      <c r="V111" s="14"/>
      <c r="W111" s="14"/>
      <c r="X111" s="14"/>
      <c r="Y111" s="14"/>
      <c r="Z111" s="14"/>
      <c r="AE111" s="13"/>
    </row>
    <row r="112" spans="1:31" x14ac:dyDescent="0.35">
      <c r="B112" t="s">
        <v>90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E112" s="13"/>
    </row>
    <row r="113" spans="1:31" x14ac:dyDescent="0.35">
      <c r="B113" t="s">
        <v>109</v>
      </c>
      <c r="F113" s="14">
        <f ca="1">-F120</f>
        <v>116.67723525681674</v>
      </c>
      <c r="G113" s="14">
        <f t="shared" ref="G113:R113" ca="1" si="209">-G120</f>
        <v>120.08062956361039</v>
      </c>
      <c r="H113" s="14">
        <f t="shared" ca="1" si="209"/>
        <v>123.58329852995541</v>
      </c>
      <c r="I113" s="14">
        <f t="shared" ca="1" si="209"/>
        <v>127.18813792905365</v>
      </c>
      <c r="J113" s="14">
        <f t="shared" ca="1" si="209"/>
        <v>130.89812800180982</v>
      </c>
      <c r="K113" s="14">
        <f t="shared" ca="1" si="209"/>
        <v>134.71633592069585</v>
      </c>
      <c r="L113" s="14">
        <f t="shared" ca="1" si="209"/>
        <v>138.64591832548467</v>
      </c>
      <c r="M113" s="14">
        <f t="shared" ca="1" si="209"/>
        <v>142.69012393294969</v>
      </c>
      <c r="N113" s="14">
        <f t="shared" ca="1" si="209"/>
        <v>146.85229622268696</v>
      </c>
      <c r="O113" s="14">
        <f t="shared" ca="1" si="209"/>
        <v>151.13587620128152</v>
      </c>
      <c r="P113" s="14">
        <f t="shared" ca="1" si="209"/>
        <v>155.54440524710202</v>
      </c>
      <c r="Q113" s="14">
        <f t="shared" ca="1" si="209"/>
        <v>160.0815280380765</v>
      </c>
      <c r="R113" s="14">
        <f t="shared" ca="1" si="209"/>
        <v>164.75099556486882</v>
      </c>
      <c r="S113" s="14"/>
      <c r="T113" s="14"/>
      <c r="U113" s="14"/>
      <c r="V113" s="14"/>
      <c r="W113" s="14"/>
      <c r="X113" s="14"/>
      <c r="Y113" s="14"/>
      <c r="Z113" s="14"/>
      <c r="AE113" s="13"/>
    </row>
    <row r="114" spans="1:31" x14ac:dyDescent="0.35">
      <c r="B114" s="8" t="s">
        <v>110</v>
      </c>
      <c r="C114" s="8"/>
      <c r="D114" s="8"/>
      <c r="E114" s="47">
        <f ca="1">$AE$62</f>
        <v>4000</v>
      </c>
      <c r="F114" s="15">
        <f ca="1">SUM(F111:F113)</f>
        <v>4116.6772352568169</v>
      </c>
      <c r="G114" s="15">
        <f t="shared" ref="G114" ca="1" si="210">SUM(G111:G113)</f>
        <v>4236.7578648204271</v>
      </c>
      <c r="H114" s="15">
        <f t="shared" ref="H114" ca="1" si="211">SUM(H111:H113)</f>
        <v>4360.3411633503829</v>
      </c>
      <c r="I114" s="15">
        <f t="shared" ref="I114" ca="1" si="212">SUM(I111:I113)</f>
        <v>4487.5293012794364</v>
      </c>
      <c r="J114" s="15">
        <f t="shared" ref="J114" ca="1" si="213">SUM(J111:J113)</f>
        <v>4618.4274292812461</v>
      </c>
      <c r="K114" s="15">
        <f t="shared" ref="K114" ca="1" si="214">SUM(K111:K113)</f>
        <v>4753.1437652019422</v>
      </c>
      <c r="L114" s="15">
        <f t="shared" ref="L114" ca="1" si="215">SUM(L111:L113)</f>
        <v>4891.7896835274269</v>
      </c>
      <c r="M114" s="15">
        <f t="shared" ref="M114" ca="1" si="216">SUM(M111:M113)</f>
        <v>5034.4798074603768</v>
      </c>
      <c r="N114" s="15">
        <f t="shared" ref="N114" ca="1" si="217">SUM(N111:N113)</f>
        <v>5181.3321036830639</v>
      </c>
      <c r="O114" s="15">
        <f t="shared" ref="O114" ca="1" si="218">SUM(O111:O113)</f>
        <v>5332.4679798843454</v>
      </c>
      <c r="P114" s="15">
        <f t="shared" ref="P114" ca="1" si="219">SUM(P111:P113)</f>
        <v>5488.0123851314474</v>
      </c>
      <c r="Q114" s="15">
        <f t="shared" ref="Q114" ca="1" si="220">SUM(Q111:Q113)</f>
        <v>5648.0939131695241</v>
      </c>
      <c r="R114" s="15">
        <f t="shared" ref="R114" ca="1" si="221">SUM(R111:R113)</f>
        <v>5812.8449087343924</v>
      </c>
      <c r="S114" s="15"/>
      <c r="T114" s="15"/>
      <c r="U114" s="15"/>
      <c r="V114" s="15"/>
      <c r="W114" s="49"/>
      <c r="X114" s="49"/>
      <c r="Y114" s="49"/>
      <c r="Z114" s="49"/>
      <c r="AE114" s="13"/>
    </row>
    <row r="115" spans="1:31" x14ac:dyDescent="0.35"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E115" s="13"/>
    </row>
    <row r="116" spans="1:31" x14ac:dyDescent="0.35">
      <c r="B116" t="s">
        <v>111</v>
      </c>
      <c r="F116" s="14">
        <f ca="1">AVERAGE(F114,F111)</f>
        <v>4058.3386176284084</v>
      </c>
      <c r="G116" s="14">
        <f t="shared" ref="G116:R116" ca="1" si="222">AVERAGE(G114,G111)</f>
        <v>4176.717550038622</v>
      </c>
      <c r="H116" s="14">
        <f t="shared" ca="1" si="222"/>
        <v>4298.5495140854055</v>
      </c>
      <c r="I116" s="14">
        <f t="shared" ca="1" si="222"/>
        <v>4423.9352323149096</v>
      </c>
      <c r="J116" s="14">
        <f t="shared" ca="1" si="222"/>
        <v>4552.9783652803417</v>
      </c>
      <c r="K116" s="14">
        <f t="shared" ca="1" si="222"/>
        <v>4685.7855972415946</v>
      </c>
      <c r="L116" s="14">
        <f t="shared" ca="1" si="222"/>
        <v>4822.4667243646845</v>
      </c>
      <c r="M116" s="14">
        <f t="shared" ca="1" si="222"/>
        <v>4963.1347454939023</v>
      </c>
      <c r="N116" s="14">
        <f t="shared" ca="1" si="222"/>
        <v>5107.9059555717204</v>
      </c>
      <c r="O116" s="14">
        <f t="shared" ca="1" si="222"/>
        <v>5256.9000417837051</v>
      </c>
      <c r="P116" s="14">
        <f t="shared" ca="1" si="222"/>
        <v>5410.240182507896</v>
      </c>
      <c r="Q116" s="14">
        <f t="shared" ca="1" si="222"/>
        <v>5568.0531491504862</v>
      </c>
      <c r="R116" s="14">
        <f t="shared" ca="1" si="222"/>
        <v>5730.4694109519587</v>
      </c>
      <c r="S116" s="14"/>
      <c r="T116" s="14"/>
      <c r="U116" s="14"/>
      <c r="V116" s="14"/>
      <c r="W116" s="14"/>
      <c r="X116" s="14"/>
      <c r="Y116" s="14"/>
      <c r="Z116" s="14"/>
      <c r="AE116" s="13"/>
    </row>
    <row r="117" spans="1:31" x14ac:dyDescent="0.35">
      <c r="B117" t="s">
        <v>2</v>
      </c>
      <c r="F117" s="25">
        <f t="shared" ref="F117:R117" ca="1" si="223">$AE$63/4</f>
        <v>2.8750000000000001E-2</v>
      </c>
      <c r="G117" s="25">
        <f t="shared" ca="1" si="223"/>
        <v>2.8750000000000001E-2</v>
      </c>
      <c r="H117" s="25">
        <f t="shared" ca="1" si="223"/>
        <v>2.8750000000000001E-2</v>
      </c>
      <c r="I117" s="25">
        <f t="shared" ca="1" si="223"/>
        <v>2.8750000000000001E-2</v>
      </c>
      <c r="J117" s="25">
        <f t="shared" ca="1" si="223"/>
        <v>2.8750000000000001E-2</v>
      </c>
      <c r="K117" s="25">
        <f t="shared" ca="1" si="223"/>
        <v>2.8750000000000001E-2</v>
      </c>
      <c r="L117" s="25">
        <f t="shared" ca="1" si="223"/>
        <v>2.8750000000000001E-2</v>
      </c>
      <c r="M117" s="25">
        <f t="shared" ca="1" si="223"/>
        <v>2.8750000000000001E-2</v>
      </c>
      <c r="N117" s="25">
        <f t="shared" ca="1" si="223"/>
        <v>2.8750000000000001E-2</v>
      </c>
      <c r="O117" s="25">
        <f t="shared" ca="1" si="223"/>
        <v>2.8750000000000001E-2</v>
      </c>
      <c r="P117" s="25">
        <f t="shared" ca="1" si="223"/>
        <v>2.8750000000000001E-2</v>
      </c>
      <c r="Q117" s="25">
        <f t="shared" ca="1" si="223"/>
        <v>2.8750000000000001E-2</v>
      </c>
      <c r="R117" s="25">
        <f t="shared" ca="1" si="223"/>
        <v>2.8750000000000001E-2</v>
      </c>
      <c r="S117" s="25"/>
      <c r="T117" s="25"/>
      <c r="U117" s="25"/>
      <c r="V117" s="25"/>
      <c r="W117" s="25"/>
      <c r="X117" s="25"/>
      <c r="Y117" s="25"/>
      <c r="Z117" s="25"/>
      <c r="AE117" s="13"/>
    </row>
    <row r="118" spans="1:31" x14ac:dyDescent="0.35">
      <c r="B118" t="s">
        <v>112</v>
      </c>
      <c r="F118" s="14">
        <f ca="1">-F116*F117</f>
        <v>-116.67723525681674</v>
      </c>
      <c r="G118" s="14">
        <f t="shared" ref="G118" ca="1" si="224">-G116*G117</f>
        <v>-120.08062956361039</v>
      </c>
      <c r="H118" s="14">
        <f t="shared" ref="H118" ca="1" si="225">-H116*H117</f>
        <v>-123.58329852995541</v>
      </c>
      <c r="I118" s="14">
        <f t="shared" ref="I118" ca="1" si="226">-I116*I117</f>
        <v>-127.18813792905365</v>
      </c>
      <c r="J118" s="14">
        <f t="shared" ref="J118" ca="1" si="227">-J116*J117</f>
        <v>-130.89812800180982</v>
      </c>
      <c r="K118" s="14">
        <f t="shared" ref="K118" ca="1" si="228">-K116*K117</f>
        <v>-134.71633592069585</v>
      </c>
      <c r="L118" s="14">
        <f t="shared" ref="L118" ca="1" si="229">-L116*L117</f>
        <v>-138.64591832548467</v>
      </c>
      <c r="M118" s="14">
        <f t="shared" ref="M118" ca="1" si="230">-M116*M117</f>
        <v>-142.69012393294969</v>
      </c>
      <c r="N118" s="14">
        <f t="shared" ref="N118" ca="1" si="231">-N116*N117</f>
        <v>-146.85229622268696</v>
      </c>
      <c r="O118" s="14">
        <f t="shared" ref="O118" ca="1" si="232">-O116*O117</f>
        <v>-151.13587620128152</v>
      </c>
      <c r="P118" s="14">
        <f t="shared" ref="P118" ca="1" si="233">-P116*P117</f>
        <v>-155.54440524710202</v>
      </c>
      <c r="Q118" s="14">
        <f t="shared" ref="Q118" ca="1" si="234">-Q116*Q117</f>
        <v>-160.0815280380765</v>
      </c>
      <c r="R118" s="14">
        <f t="shared" ref="R118" ca="1" si="235">-R116*R117</f>
        <v>-164.75099556486882</v>
      </c>
      <c r="S118" s="14"/>
      <c r="T118" s="14"/>
      <c r="U118" s="14"/>
      <c r="V118" s="14"/>
      <c r="W118" s="14"/>
      <c r="X118" s="14"/>
      <c r="Y118" s="14"/>
      <c r="Z118" s="14"/>
      <c r="AE118" s="13"/>
    </row>
    <row r="119" spans="1:31" x14ac:dyDescent="0.35">
      <c r="B119" t="s">
        <v>86</v>
      </c>
      <c r="F119" s="14">
        <f ca="1">F118-F120</f>
        <v>0</v>
      </c>
      <c r="G119" s="14">
        <f t="shared" ref="G119" ca="1" si="236">G118-G120</f>
        <v>0</v>
      </c>
      <c r="H119" s="14">
        <f t="shared" ref="H119" ca="1" si="237">H118-H120</f>
        <v>0</v>
      </c>
      <c r="I119" s="14">
        <f t="shared" ref="I119" ca="1" si="238">I118-I120</f>
        <v>0</v>
      </c>
      <c r="J119" s="14">
        <f t="shared" ref="J119" ca="1" si="239">J118-J120</f>
        <v>0</v>
      </c>
      <c r="K119" s="14">
        <f t="shared" ref="K119" ca="1" si="240">K118-K120</f>
        <v>0</v>
      </c>
      <c r="L119" s="14">
        <f t="shared" ref="L119" ca="1" si="241">L118-L120</f>
        <v>0</v>
      </c>
      <c r="M119" s="14">
        <f t="shared" ref="M119" ca="1" si="242">M118-M120</f>
        <v>0</v>
      </c>
      <c r="N119" s="14">
        <f t="shared" ref="N119" ca="1" si="243">N118-N120</f>
        <v>0</v>
      </c>
      <c r="O119" s="14">
        <f t="shared" ref="O119" ca="1" si="244">O118-O120</f>
        <v>0</v>
      </c>
      <c r="P119" s="14">
        <f t="shared" ref="P119" ca="1" si="245">P118-P120</f>
        <v>0</v>
      </c>
      <c r="Q119" s="14">
        <f t="shared" ref="Q119" ca="1" si="246">Q118-Q120</f>
        <v>0</v>
      </c>
      <c r="R119" s="14">
        <f t="shared" ref="R119" ca="1" si="247">R118-R120</f>
        <v>0</v>
      </c>
      <c r="S119" s="14"/>
      <c r="T119" s="14"/>
      <c r="U119" s="14"/>
      <c r="V119" s="14"/>
      <c r="W119" s="14"/>
      <c r="X119" s="14"/>
      <c r="Y119" s="14"/>
      <c r="Z119" s="14"/>
      <c r="AE119" s="13"/>
    </row>
    <row r="120" spans="1:31" x14ac:dyDescent="0.35">
      <c r="B120" t="s">
        <v>113</v>
      </c>
      <c r="F120" s="14">
        <f t="shared" ref="F120:R120" ca="1" si="248">F118*$AE$64</f>
        <v>-116.67723525681674</v>
      </c>
      <c r="G120" s="14">
        <f t="shared" ca="1" si="248"/>
        <v>-120.08062956361039</v>
      </c>
      <c r="H120" s="14">
        <f t="shared" ca="1" si="248"/>
        <v>-123.58329852995541</v>
      </c>
      <c r="I120" s="14">
        <f t="shared" ca="1" si="248"/>
        <v>-127.18813792905365</v>
      </c>
      <c r="J120" s="14">
        <f t="shared" ca="1" si="248"/>
        <v>-130.89812800180982</v>
      </c>
      <c r="K120" s="14">
        <f t="shared" ca="1" si="248"/>
        <v>-134.71633592069585</v>
      </c>
      <c r="L120" s="14">
        <f t="shared" ca="1" si="248"/>
        <v>-138.64591832548467</v>
      </c>
      <c r="M120" s="14">
        <f t="shared" ca="1" si="248"/>
        <v>-142.69012393294969</v>
      </c>
      <c r="N120" s="14">
        <f t="shared" ca="1" si="248"/>
        <v>-146.85229622268696</v>
      </c>
      <c r="O120" s="14">
        <f t="shared" ca="1" si="248"/>
        <v>-151.13587620128152</v>
      </c>
      <c r="P120" s="14">
        <f t="shared" ca="1" si="248"/>
        <v>-155.54440524710202</v>
      </c>
      <c r="Q120" s="14">
        <f t="shared" ca="1" si="248"/>
        <v>-160.0815280380765</v>
      </c>
      <c r="R120" s="14">
        <f t="shared" ca="1" si="248"/>
        <v>-164.75099556486882</v>
      </c>
      <c r="S120" s="14"/>
      <c r="T120" s="14"/>
      <c r="U120" s="14"/>
      <c r="V120" s="14"/>
      <c r="W120" s="14"/>
      <c r="X120" s="14"/>
      <c r="Y120" s="14"/>
      <c r="Z120" s="14"/>
      <c r="AE120" s="13"/>
    </row>
    <row r="121" spans="1:31" x14ac:dyDescent="0.35"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E121" s="13"/>
    </row>
    <row r="122" spans="1:31" x14ac:dyDescent="0.35">
      <c r="A122" t="s">
        <v>0</v>
      </c>
      <c r="B122" s="4" t="s">
        <v>11</v>
      </c>
      <c r="AE122" s="13"/>
    </row>
    <row r="123" spans="1:31" x14ac:dyDescent="0.35">
      <c r="B123" s="4" t="s">
        <v>108</v>
      </c>
      <c r="F123" s="14">
        <f ca="1">E126</f>
        <v>2800</v>
      </c>
      <c r="G123" s="14">
        <f t="shared" ref="G123:V123" ca="1" si="249">F126</f>
        <v>2800</v>
      </c>
      <c r="H123" s="14">
        <f t="shared" ca="1" si="249"/>
        <v>2800</v>
      </c>
      <c r="I123" s="14">
        <f t="shared" ca="1" si="249"/>
        <v>2800</v>
      </c>
      <c r="J123" s="14">
        <f t="shared" ca="1" si="249"/>
        <v>2800</v>
      </c>
      <c r="K123" s="14">
        <f t="shared" ca="1" si="249"/>
        <v>2800</v>
      </c>
      <c r="L123" s="14">
        <f t="shared" ca="1" si="249"/>
        <v>2800</v>
      </c>
      <c r="M123" s="14">
        <f t="shared" ca="1" si="249"/>
        <v>2800</v>
      </c>
      <c r="N123" s="14">
        <f t="shared" ca="1" si="249"/>
        <v>2800</v>
      </c>
      <c r="O123" s="14">
        <f t="shared" ca="1" si="249"/>
        <v>2800</v>
      </c>
      <c r="P123" s="14">
        <f t="shared" ca="1" si="249"/>
        <v>2800</v>
      </c>
      <c r="Q123" s="14">
        <f t="shared" ca="1" si="249"/>
        <v>2800</v>
      </c>
      <c r="R123" s="14">
        <f t="shared" ca="1" si="249"/>
        <v>2800</v>
      </c>
      <c r="S123" s="14">
        <f t="shared" ca="1" si="249"/>
        <v>2800</v>
      </c>
      <c r="T123" s="14">
        <f t="shared" ca="1" si="249"/>
        <v>2800</v>
      </c>
      <c r="U123" s="14">
        <f t="shared" ca="1" si="249"/>
        <v>2800</v>
      </c>
      <c r="V123" s="14">
        <f t="shared" ca="1" si="249"/>
        <v>2800</v>
      </c>
      <c r="W123" s="14"/>
      <c r="X123" s="14"/>
      <c r="Y123" s="14"/>
      <c r="Z123" s="14"/>
      <c r="AE123" s="13"/>
    </row>
    <row r="124" spans="1:31" x14ac:dyDescent="0.35">
      <c r="B124" t="s">
        <v>90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E124" s="13"/>
    </row>
    <row r="125" spans="1:31" x14ac:dyDescent="0.35">
      <c r="B125" t="s">
        <v>109</v>
      </c>
      <c r="F125" s="14">
        <f ca="1">-F132</f>
        <v>0</v>
      </c>
      <c r="G125" s="14">
        <f t="shared" ref="G125:V125" ca="1" si="250">-G132</f>
        <v>0</v>
      </c>
      <c r="H125" s="14">
        <f t="shared" ca="1" si="250"/>
        <v>0</v>
      </c>
      <c r="I125" s="14">
        <f t="shared" ca="1" si="250"/>
        <v>0</v>
      </c>
      <c r="J125" s="14">
        <f t="shared" ca="1" si="250"/>
        <v>0</v>
      </c>
      <c r="K125" s="14">
        <f t="shared" ca="1" si="250"/>
        <v>0</v>
      </c>
      <c r="L125" s="14">
        <f t="shared" ca="1" si="250"/>
        <v>0</v>
      </c>
      <c r="M125" s="14">
        <f t="shared" ca="1" si="250"/>
        <v>0</v>
      </c>
      <c r="N125" s="14">
        <f t="shared" ca="1" si="250"/>
        <v>0</v>
      </c>
      <c r="O125" s="14">
        <f t="shared" ca="1" si="250"/>
        <v>0</v>
      </c>
      <c r="P125" s="14">
        <f t="shared" ca="1" si="250"/>
        <v>0</v>
      </c>
      <c r="Q125" s="14">
        <f t="shared" ca="1" si="250"/>
        <v>0</v>
      </c>
      <c r="R125" s="14">
        <f t="shared" ca="1" si="250"/>
        <v>0</v>
      </c>
      <c r="S125" s="14">
        <f t="shared" ca="1" si="250"/>
        <v>0</v>
      </c>
      <c r="T125" s="14">
        <f t="shared" ca="1" si="250"/>
        <v>0</v>
      </c>
      <c r="U125" s="14">
        <f t="shared" ca="1" si="250"/>
        <v>0</v>
      </c>
      <c r="V125" s="14">
        <f t="shared" ca="1" si="250"/>
        <v>0</v>
      </c>
      <c r="W125" s="14"/>
      <c r="X125" s="14"/>
      <c r="Y125" s="14"/>
      <c r="Z125" s="14"/>
      <c r="AE125" s="13"/>
    </row>
    <row r="126" spans="1:31" x14ac:dyDescent="0.35">
      <c r="B126" s="8" t="s">
        <v>110</v>
      </c>
      <c r="C126" s="8"/>
      <c r="D126" s="8"/>
      <c r="E126" s="47">
        <f ca="1">$AE$65</f>
        <v>2800</v>
      </c>
      <c r="F126" s="15">
        <f ca="1">SUM(F123:F125)</f>
        <v>2800</v>
      </c>
      <c r="G126" s="15">
        <f t="shared" ref="G126" ca="1" si="251">SUM(G123:G125)</f>
        <v>2800</v>
      </c>
      <c r="H126" s="15">
        <f t="shared" ref="H126" ca="1" si="252">SUM(H123:H125)</f>
        <v>2800</v>
      </c>
      <c r="I126" s="15">
        <f t="shared" ref="I126" ca="1" si="253">SUM(I123:I125)</f>
        <v>2800</v>
      </c>
      <c r="J126" s="15">
        <f t="shared" ref="J126" ca="1" si="254">SUM(J123:J125)</f>
        <v>2800</v>
      </c>
      <c r="K126" s="15">
        <f t="shared" ref="K126" ca="1" si="255">SUM(K123:K125)</f>
        <v>2800</v>
      </c>
      <c r="L126" s="15">
        <f t="shared" ref="L126" ca="1" si="256">SUM(L123:L125)</f>
        <v>2800</v>
      </c>
      <c r="M126" s="15">
        <f t="shared" ref="M126" ca="1" si="257">SUM(M123:M125)</f>
        <v>2800</v>
      </c>
      <c r="N126" s="15">
        <f t="shared" ref="N126" ca="1" si="258">SUM(N123:N125)</f>
        <v>2800</v>
      </c>
      <c r="O126" s="15">
        <f t="shared" ref="O126" ca="1" si="259">SUM(O123:O125)</f>
        <v>2800</v>
      </c>
      <c r="P126" s="15">
        <f t="shared" ref="P126" ca="1" si="260">SUM(P123:P125)</f>
        <v>2800</v>
      </c>
      <c r="Q126" s="15">
        <f t="shared" ref="Q126" ca="1" si="261">SUM(Q123:Q125)</f>
        <v>2800</v>
      </c>
      <c r="R126" s="15">
        <f t="shared" ref="R126" ca="1" si="262">SUM(R123:R125)</f>
        <v>2800</v>
      </c>
      <c r="S126" s="15">
        <f t="shared" ref="S126" ca="1" si="263">SUM(S123:S125)</f>
        <v>2800</v>
      </c>
      <c r="T126" s="15">
        <f t="shared" ref="T126" ca="1" si="264">SUM(T123:T125)</f>
        <v>2800</v>
      </c>
      <c r="U126" s="15">
        <f t="shared" ref="U126" ca="1" si="265">SUM(U123:U125)</f>
        <v>2800</v>
      </c>
      <c r="V126" s="15">
        <f t="shared" ref="V126" ca="1" si="266">SUM(V123:V125)</f>
        <v>2800</v>
      </c>
      <c r="W126" s="49"/>
      <c r="X126" s="49"/>
      <c r="Y126" s="49"/>
      <c r="Z126" s="49"/>
      <c r="AE126" s="13"/>
    </row>
    <row r="127" spans="1:31" x14ac:dyDescent="0.35"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E127" s="13"/>
    </row>
    <row r="128" spans="1:31" x14ac:dyDescent="0.35">
      <c r="B128" t="s">
        <v>111</v>
      </c>
      <c r="F128" s="14">
        <f ca="1">AVERAGE(F126,F123)</f>
        <v>2800</v>
      </c>
      <c r="G128" s="14">
        <f t="shared" ref="G128:V128" ca="1" si="267">AVERAGE(G126,G123)</f>
        <v>2800</v>
      </c>
      <c r="H128" s="14">
        <f t="shared" ca="1" si="267"/>
        <v>2800</v>
      </c>
      <c r="I128" s="14">
        <f t="shared" ca="1" si="267"/>
        <v>2800</v>
      </c>
      <c r="J128" s="14">
        <f t="shared" ca="1" si="267"/>
        <v>2800</v>
      </c>
      <c r="K128" s="14">
        <f t="shared" ca="1" si="267"/>
        <v>2800</v>
      </c>
      <c r="L128" s="14">
        <f t="shared" ca="1" si="267"/>
        <v>2800</v>
      </c>
      <c r="M128" s="14">
        <f t="shared" ca="1" si="267"/>
        <v>2800</v>
      </c>
      <c r="N128" s="14">
        <f t="shared" ca="1" si="267"/>
        <v>2800</v>
      </c>
      <c r="O128" s="14">
        <f t="shared" ca="1" si="267"/>
        <v>2800</v>
      </c>
      <c r="P128" s="14">
        <f t="shared" ca="1" si="267"/>
        <v>2800</v>
      </c>
      <c r="Q128" s="14">
        <f t="shared" ca="1" si="267"/>
        <v>2800</v>
      </c>
      <c r="R128" s="14">
        <f t="shared" ca="1" si="267"/>
        <v>2800</v>
      </c>
      <c r="S128" s="14">
        <f t="shared" ca="1" si="267"/>
        <v>2800</v>
      </c>
      <c r="T128" s="14">
        <f t="shared" ca="1" si="267"/>
        <v>2800</v>
      </c>
      <c r="U128" s="14">
        <f t="shared" ca="1" si="267"/>
        <v>2800</v>
      </c>
      <c r="V128" s="14">
        <f t="shared" ca="1" si="267"/>
        <v>2800</v>
      </c>
      <c r="W128" s="14"/>
      <c r="X128" s="14"/>
      <c r="Y128" s="14"/>
      <c r="Z128" s="14"/>
      <c r="AE128" s="13"/>
    </row>
    <row r="129" spans="1:31" x14ac:dyDescent="0.35">
      <c r="B129" t="s">
        <v>2</v>
      </c>
      <c r="F129" s="25">
        <f t="shared" ref="F129:V129" ca="1" si="268">$AE$66/4</f>
        <v>0.03</v>
      </c>
      <c r="G129" s="25">
        <f t="shared" ca="1" si="268"/>
        <v>0.03</v>
      </c>
      <c r="H129" s="25">
        <f t="shared" ca="1" si="268"/>
        <v>0.03</v>
      </c>
      <c r="I129" s="25">
        <f t="shared" ca="1" si="268"/>
        <v>0.03</v>
      </c>
      <c r="J129" s="25">
        <f t="shared" ca="1" si="268"/>
        <v>0.03</v>
      </c>
      <c r="K129" s="25">
        <f t="shared" ca="1" si="268"/>
        <v>0.03</v>
      </c>
      <c r="L129" s="25">
        <f t="shared" ca="1" si="268"/>
        <v>0.03</v>
      </c>
      <c r="M129" s="25">
        <f t="shared" ca="1" si="268"/>
        <v>0.03</v>
      </c>
      <c r="N129" s="25">
        <f t="shared" ca="1" si="268"/>
        <v>0.03</v>
      </c>
      <c r="O129" s="25">
        <f t="shared" ca="1" si="268"/>
        <v>0.03</v>
      </c>
      <c r="P129" s="25">
        <f t="shared" ca="1" si="268"/>
        <v>0.03</v>
      </c>
      <c r="Q129" s="25">
        <f t="shared" ca="1" si="268"/>
        <v>0.03</v>
      </c>
      <c r="R129" s="25">
        <f t="shared" ca="1" si="268"/>
        <v>0.03</v>
      </c>
      <c r="S129" s="25">
        <f t="shared" ca="1" si="268"/>
        <v>0.03</v>
      </c>
      <c r="T129" s="25">
        <f t="shared" ca="1" si="268"/>
        <v>0.03</v>
      </c>
      <c r="U129" s="25">
        <f t="shared" ca="1" si="268"/>
        <v>0.03</v>
      </c>
      <c r="V129" s="25">
        <f t="shared" ca="1" si="268"/>
        <v>0.03</v>
      </c>
      <c r="W129" s="25"/>
      <c r="X129" s="25"/>
      <c r="Y129" s="25"/>
      <c r="Z129" s="25"/>
      <c r="AE129" s="13"/>
    </row>
    <row r="130" spans="1:31" x14ac:dyDescent="0.35">
      <c r="B130" t="s">
        <v>112</v>
      </c>
      <c r="F130" s="14">
        <f ca="1">-F128*F129</f>
        <v>-84</v>
      </c>
      <c r="G130" s="14">
        <f t="shared" ref="G130" ca="1" si="269">-G128*G129</f>
        <v>-84</v>
      </c>
      <c r="H130" s="14">
        <f t="shared" ref="H130" ca="1" si="270">-H128*H129</f>
        <v>-84</v>
      </c>
      <c r="I130" s="14">
        <f t="shared" ref="I130" ca="1" si="271">-I128*I129</f>
        <v>-84</v>
      </c>
      <c r="J130" s="14">
        <f t="shared" ref="J130" ca="1" si="272">-J128*J129</f>
        <v>-84</v>
      </c>
      <c r="K130" s="14">
        <f t="shared" ref="K130" ca="1" si="273">-K128*K129</f>
        <v>-84</v>
      </c>
      <c r="L130" s="14">
        <f t="shared" ref="L130" ca="1" si="274">-L128*L129</f>
        <v>-84</v>
      </c>
      <c r="M130" s="14">
        <f t="shared" ref="M130" ca="1" si="275">-M128*M129</f>
        <v>-84</v>
      </c>
      <c r="N130" s="14">
        <f t="shared" ref="N130" ca="1" si="276">-N128*N129</f>
        <v>-84</v>
      </c>
      <c r="O130" s="14">
        <f t="shared" ref="O130" ca="1" si="277">-O128*O129</f>
        <v>-84</v>
      </c>
      <c r="P130" s="14">
        <f t="shared" ref="P130" ca="1" si="278">-P128*P129</f>
        <v>-84</v>
      </c>
      <c r="Q130" s="14">
        <f t="shared" ref="Q130" ca="1" si="279">-Q128*Q129</f>
        <v>-84</v>
      </c>
      <c r="R130" s="14">
        <f t="shared" ref="R130" ca="1" si="280">-R128*R129</f>
        <v>-84</v>
      </c>
      <c r="S130" s="14">
        <f t="shared" ref="S130" ca="1" si="281">-S128*S129</f>
        <v>-84</v>
      </c>
      <c r="T130" s="14">
        <f t="shared" ref="T130" ca="1" si="282">-T128*T129</f>
        <v>-84</v>
      </c>
      <c r="U130" s="14">
        <f t="shared" ref="U130" ca="1" si="283">-U128*U129</f>
        <v>-84</v>
      </c>
      <c r="V130" s="14">
        <f t="shared" ref="V130" ca="1" si="284">-V128*V129</f>
        <v>-84</v>
      </c>
      <c r="W130" s="14"/>
      <c r="X130" s="14"/>
      <c r="Y130" s="14"/>
      <c r="Z130" s="14"/>
      <c r="AE130" s="13"/>
    </row>
    <row r="131" spans="1:31" x14ac:dyDescent="0.35">
      <c r="B131" t="s">
        <v>86</v>
      </c>
      <c r="F131" s="14">
        <f ca="1">F130-F132</f>
        <v>-84</v>
      </c>
      <c r="G131" s="14">
        <f t="shared" ref="G131" ca="1" si="285">G130-G132</f>
        <v>-84</v>
      </c>
      <c r="H131" s="14">
        <f t="shared" ref="H131" ca="1" si="286">H130-H132</f>
        <v>-84</v>
      </c>
      <c r="I131" s="14">
        <f t="shared" ref="I131" ca="1" si="287">I130-I132</f>
        <v>-84</v>
      </c>
      <c r="J131" s="14">
        <f t="shared" ref="J131" ca="1" si="288">J130-J132</f>
        <v>-84</v>
      </c>
      <c r="K131" s="14">
        <f t="shared" ref="K131" ca="1" si="289">K130-K132</f>
        <v>-84</v>
      </c>
      <c r="L131" s="14">
        <f t="shared" ref="L131" ca="1" si="290">L130-L132</f>
        <v>-84</v>
      </c>
      <c r="M131" s="14">
        <f t="shared" ref="M131" ca="1" si="291">M130-M132</f>
        <v>-84</v>
      </c>
      <c r="N131" s="14">
        <f t="shared" ref="N131" ca="1" si="292">N130-N132</f>
        <v>-84</v>
      </c>
      <c r="O131" s="14">
        <f t="shared" ref="O131" ca="1" si="293">O130-O132</f>
        <v>-84</v>
      </c>
      <c r="P131" s="14">
        <f t="shared" ref="P131" ca="1" si="294">P130-P132</f>
        <v>-84</v>
      </c>
      <c r="Q131" s="14">
        <f t="shared" ref="Q131" ca="1" si="295">Q130-Q132</f>
        <v>-84</v>
      </c>
      <c r="R131" s="14">
        <f t="shared" ref="R131" ca="1" si="296">R130-R132</f>
        <v>-84</v>
      </c>
      <c r="S131" s="14">
        <f t="shared" ref="S131" ca="1" si="297">S130-S132</f>
        <v>-84</v>
      </c>
      <c r="T131" s="14">
        <f t="shared" ref="T131" ca="1" si="298">T130-T132</f>
        <v>-84</v>
      </c>
      <c r="U131" s="14">
        <f t="shared" ref="U131" ca="1" si="299">U130-U132</f>
        <v>-84</v>
      </c>
      <c r="V131" s="14">
        <f t="shared" ref="V131" ca="1" si="300">V130-V132</f>
        <v>-84</v>
      </c>
      <c r="W131" s="14"/>
      <c r="X131" s="14"/>
      <c r="Y131" s="14"/>
      <c r="Z131" s="14"/>
      <c r="AE131" s="13"/>
    </row>
    <row r="132" spans="1:31" x14ac:dyDescent="0.35">
      <c r="B132" t="s">
        <v>113</v>
      </c>
      <c r="F132" s="14">
        <f t="shared" ref="F132:V132" ca="1" si="301">F130*$AE$67</f>
        <v>0</v>
      </c>
      <c r="G132" s="14">
        <f t="shared" ca="1" si="301"/>
        <v>0</v>
      </c>
      <c r="H132" s="14">
        <f t="shared" ca="1" si="301"/>
        <v>0</v>
      </c>
      <c r="I132" s="14">
        <f t="shared" ca="1" si="301"/>
        <v>0</v>
      </c>
      <c r="J132" s="14">
        <f t="shared" ca="1" si="301"/>
        <v>0</v>
      </c>
      <c r="K132" s="14">
        <f t="shared" ca="1" si="301"/>
        <v>0</v>
      </c>
      <c r="L132" s="14">
        <f t="shared" ca="1" si="301"/>
        <v>0</v>
      </c>
      <c r="M132" s="14">
        <f t="shared" ca="1" si="301"/>
        <v>0</v>
      </c>
      <c r="N132" s="14">
        <f t="shared" ca="1" si="301"/>
        <v>0</v>
      </c>
      <c r="O132" s="14">
        <f t="shared" ca="1" si="301"/>
        <v>0</v>
      </c>
      <c r="P132" s="14">
        <f t="shared" ca="1" si="301"/>
        <v>0</v>
      </c>
      <c r="Q132" s="14">
        <f t="shared" ca="1" si="301"/>
        <v>0</v>
      </c>
      <c r="R132" s="14">
        <f t="shared" ca="1" si="301"/>
        <v>0</v>
      </c>
      <c r="S132" s="14">
        <f t="shared" ca="1" si="301"/>
        <v>0</v>
      </c>
      <c r="T132" s="14">
        <f t="shared" ca="1" si="301"/>
        <v>0</v>
      </c>
      <c r="U132" s="14">
        <f t="shared" ca="1" si="301"/>
        <v>0</v>
      </c>
      <c r="V132" s="14">
        <f t="shared" ca="1" si="301"/>
        <v>0</v>
      </c>
      <c r="W132" s="14"/>
      <c r="X132" s="14"/>
      <c r="Y132" s="14"/>
      <c r="Z132" s="14"/>
      <c r="AE132" s="13"/>
    </row>
    <row r="133" spans="1:31" x14ac:dyDescent="0.35">
      <c r="AE133" s="13"/>
    </row>
    <row r="134" spans="1:31" x14ac:dyDescent="0.35">
      <c r="A134" t="s">
        <v>0</v>
      </c>
      <c r="B134" s="4" t="s">
        <v>12</v>
      </c>
      <c r="AE134" s="13"/>
    </row>
    <row r="135" spans="1:31" x14ac:dyDescent="0.35">
      <c r="B135" s="4" t="s">
        <v>108</v>
      </c>
      <c r="F135" s="14">
        <f ca="1">E138</f>
        <v>2000</v>
      </c>
      <c r="G135" s="14">
        <f t="shared" ref="G135:R135" ca="1" si="302">F138</f>
        <v>2000</v>
      </c>
      <c r="H135" s="14">
        <f t="shared" ca="1" si="302"/>
        <v>2000</v>
      </c>
      <c r="I135" s="14">
        <f t="shared" ca="1" si="302"/>
        <v>2000</v>
      </c>
      <c r="J135" s="14">
        <f t="shared" ca="1" si="302"/>
        <v>2000</v>
      </c>
      <c r="K135" s="14">
        <f t="shared" ca="1" si="302"/>
        <v>2000</v>
      </c>
      <c r="L135" s="14">
        <f t="shared" ca="1" si="302"/>
        <v>2000</v>
      </c>
      <c r="M135" s="14">
        <f t="shared" ca="1" si="302"/>
        <v>2000</v>
      </c>
      <c r="N135" s="14">
        <f t="shared" ca="1" si="302"/>
        <v>2000</v>
      </c>
      <c r="O135" s="14">
        <f t="shared" ca="1" si="302"/>
        <v>2000</v>
      </c>
      <c r="P135" s="14">
        <f t="shared" ca="1" si="302"/>
        <v>2000</v>
      </c>
      <c r="Q135" s="14">
        <f t="shared" ca="1" si="302"/>
        <v>2000</v>
      </c>
      <c r="R135" s="14">
        <f t="shared" ca="1" si="302"/>
        <v>2000</v>
      </c>
      <c r="S135" s="14"/>
      <c r="T135" s="14"/>
      <c r="U135" s="14"/>
      <c r="V135" s="14"/>
      <c r="W135" s="14"/>
      <c r="X135" s="14"/>
      <c r="Y135" s="14"/>
      <c r="Z135" s="14"/>
      <c r="AE135" s="13"/>
    </row>
    <row r="136" spans="1:31" x14ac:dyDescent="0.35">
      <c r="B136" t="s">
        <v>90</v>
      </c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E136" s="13"/>
    </row>
    <row r="137" spans="1:31" x14ac:dyDescent="0.35">
      <c r="B137" t="s">
        <v>109</v>
      </c>
      <c r="F137" s="14">
        <f ca="1">-F144</f>
        <v>0</v>
      </c>
      <c r="G137" s="14">
        <f t="shared" ref="G137:R137" ca="1" si="303">-G144</f>
        <v>0</v>
      </c>
      <c r="H137" s="14">
        <f t="shared" ca="1" si="303"/>
        <v>0</v>
      </c>
      <c r="I137" s="14">
        <f t="shared" ca="1" si="303"/>
        <v>0</v>
      </c>
      <c r="J137" s="14">
        <f t="shared" ca="1" si="303"/>
        <v>0</v>
      </c>
      <c r="K137" s="14">
        <f t="shared" ca="1" si="303"/>
        <v>0</v>
      </c>
      <c r="L137" s="14">
        <f t="shared" ca="1" si="303"/>
        <v>0</v>
      </c>
      <c r="M137" s="14">
        <f t="shared" ca="1" si="303"/>
        <v>0</v>
      </c>
      <c r="N137" s="14">
        <f t="shared" ca="1" si="303"/>
        <v>0</v>
      </c>
      <c r="O137" s="14">
        <f t="shared" ca="1" si="303"/>
        <v>0</v>
      </c>
      <c r="P137" s="14">
        <f t="shared" ca="1" si="303"/>
        <v>0</v>
      </c>
      <c r="Q137" s="14">
        <f t="shared" ca="1" si="303"/>
        <v>0</v>
      </c>
      <c r="R137" s="14">
        <f t="shared" ca="1" si="303"/>
        <v>0</v>
      </c>
      <c r="S137" s="14"/>
      <c r="T137" s="14"/>
      <c r="U137" s="14"/>
      <c r="V137" s="14"/>
      <c r="W137" s="14"/>
      <c r="X137" s="14"/>
      <c r="Y137" s="14"/>
      <c r="Z137" s="14"/>
      <c r="AE137" s="13"/>
    </row>
    <row r="138" spans="1:31" x14ac:dyDescent="0.35">
      <c r="B138" s="8" t="s">
        <v>110</v>
      </c>
      <c r="C138" s="8"/>
      <c r="D138" s="8"/>
      <c r="E138" s="47">
        <f ca="1">$AE$68</f>
        <v>2000</v>
      </c>
      <c r="F138" s="15">
        <f ca="1">SUM(F135:F137)</f>
        <v>2000</v>
      </c>
      <c r="G138" s="15">
        <f t="shared" ref="G138" ca="1" si="304">SUM(G135:G137)</f>
        <v>2000</v>
      </c>
      <c r="H138" s="15">
        <f t="shared" ref="H138" ca="1" si="305">SUM(H135:H137)</f>
        <v>2000</v>
      </c>
      <c r="I138" s="15">
        <f t="shared" ref="I138" ca="1" si="306">SUM(I135:I137)</f>
        <v>2000</v>
      </c>
      <c r="J138" s="15">
        <f t="shared" ref="J138" ca="1" si="307">SUM(J135:J137)</f>
        <v>2000</v>
      </c>
      <c r="K138" s="15">
        <f t="shared" ref="K138" ca="1" si="308">SUM(K135:K137)</f>
        <v>2000</v>
      </c>
      <c r="L138" s="15">
        <f t="shared" ref="L138" ca="1" si="309">SUM(L135:L137)</f>
        <v>2000</v>
      </c>
      <c r="M138" s="15">
        <f t="shared" ref="M138" ca="1" si="310">SUM(M135:M137)</f>
        <v>2000</v>
      </c>
      <c r="N138" s="15">
        <f t="shared" ref="N138" ca="1" si="311">SUM(N135:N137)</f>
        <v>2000</v>
      </c>
      <c r="O138" s="15">
        <f t="shared" ref="O138" ca="1" si="312">SUM(O135:O137)</f>
        <v>2000</v>
      </c>
      <c r="P138" s="15">
        <f t="shared" ref="P138" ca="1" si="313">SUM(P135:P137)</f>
        <v>2000</v>
      </c>
      <c r="Q138" s="15">
        <f t="shared" ref="Q138" ca="1" si="314">SUM(Q135:Q137)</f>
        <v>2000</v>
      </c>
      <c r="R138" s="15">
        <f t="shared" ref="R138" ca="1" si="315">SUM(R135:R137)</f>
        <v>2000</v>
      </c>
      <c r="S138" s="15"/>
      <c r="T138" s="15"/>
      <c r="U138" s="15"/>
      <c r="V138" s="15"/>
      <c r="W138" s="49"/>
      <c r="X138" s="49"/>
      <c r="Y138" s="49"/>
      <c r="Z138" s="49"/>
      <c r="AE138" s="13"/>
    </row>
    <row r="139" spans="1:31" x14ac:dyDescent="0.35"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E139" s="13"/>
    </row>
    <row r="140" spans="1:31" x14ac:dyDescent="0.35">
      <c r="B140" t="s">
        <v>111</v>
      </c>
      <c r="F140" s="14">
        <f ca="1">AVERAGE(F138,F135)</f>
        <v>2000</v>
      </c>
      <c r="G140" s="14">
        <f t="shared" ref="G140:R140" ca="1" si="316">AVERAGE(G138,G135)</f>
        <v>2000</v>
      </c>
      <c r="H140" s="14">
        <f t="shared" ca="1" si="316"/>
        <v>2000</v>
      </c>
      <c r="I140" s="14">
        <f t="shared" ca="1" si="316"/>
        <v>2000</v>
      </c>
      <c r="J140" s="14">
        <f t="shared" ca="1" si="316"/>
        <v>2000</v>
      </c>
      <c r="K140" s="14">
        <f t="shared" ca="1" si="316"/>
        <v>2000</v>
      </c>
      <c r="L140" s="14">
        <f t="shared" ca="1" si="316"/>
        <v>2000</v>
      </c>
      <c r="M140" s="14">
        <f t="shared" ca="1" si="316"/>
        <v>2000</v>
      </c>
      <c r="N140" s="14">
        <f t="shared" ca="1" si="316"/>
        <v>2000</v>
      </c>
      <c r="O140" s="14">
        <f t="shared" ca="1" si="316"/>
        <v>2000</v>
      </c>
      <c r="P140" s="14">
        <f t="shared" ca="1" si="316"/>
        <v>2000</v>
      </c>
      <c r="Q140" s="14">
        <f t="shared" ca="1" si="316"/>
        <v>2000</v>
      </c>
      <c r="R140" s="14">
        <f t="shared" ca="1" si="316"/>
        <v>2000</v>
      </c>
      <c r="S140" s="14"/>
      <c r="T140" s="14"/>
      <c r="U140" s="14"/>
      <c r="V140" s="14"/>
      <c r="W140" s="14"/>
      <c r="X140" s="14"/>
      <c r="Y140" s="14"/>
      <c r="Z140" s="14"/>
      <c r="AE140" s="13"/>
    </row>
    <row r="141" spans="1:31" x14ac:dyDescent="0.35">
      <c r="B141" t="s">
        <v>2</v>
      </c>
      <c r="F141" s="25">
        <f t="shared" ref="F141:R141" ca="1" si="317">$AE$69/4</f>
        <v>1.4375000000000001E-2</v>
      </c>
      <c r="G141" s="25">
        <f t="shared" ca="1" si="317"/>
        <v>1.4375000000000001E-2</v>
      </c>
      <c r="H141" s="25">
        <f t="shared" ca="1" si="317"/>
        <v>1.4375000000000001E-2</v>
      </c>
      <c r="I141" s="25">
        <f t="shared" ca="1" si="317"/>
        <v>1.4375000000000001E-2</v>
      </c>
      <c r="J141" s="25">
        <f t="shared" ca="1" si="317"/>
        <v>1.4375000000000001E-2</v>
      </c>
      <c r="K141" s="25">
        <f t="shared" ca="1" si="317"/>
        <v>1.4375000000000001E-2</v>
      </c>
      <c r="L141" s="25">
        <f t="shared" ca="1" si="317"/>
        <v>1.4375000000000001E-2</v>
      </c>
      <c r="M141" s="25">
        <f t="shared" ca="1" si="317"/>
        <v>1.4375000000000001E-2</v>
      </c>
      <c r="N141" s="25">
        <f t="shared" ca="1" si="317"/>
        <v>1.4375000000000001E-2</v>
      </c>
      <c r="O141" s="25">
        <f t="shared" ca="1" si="317"/>
        <v>1.4375000000000001E-2</v>
      </c>
      <c r="P141" s="25">
        <f t="shared" ca="1" si="317"/>
        <v>1.4375000000000001E-2</v>
      </c>
      <c r="Q141" s="25">
        <f t="shared" ca="1" si="317"/>
        <v>1.4375000000000001E-2</v>
      </c>
      <c r="R141" s="25">
        <f t="shared" ca="1" si="317"/>
        <v>1.4375000000000001E-2</v>
      </c>
      <c r="S141" s="25"/>
      <c r="T141" s="25"/>
      <c r="U141" s="25"/>
      <c r="V141" s="25"/>
      <c r="W141" s="25"/>
      <c r="X141" s="25"/>
      <c r="Y141" s="25"/>
      <c r="Z141" s="25"/>
      <c r="AE141" s="13"/>
    </row>
    <row r="142" spans="1:31" x14ac:dyDescent="0.35">
      <c r="B142" t="s">
        <v>112</v>
      </c>
      <c r="F142" s="14">
        <f ca="1">-F140*F141</f>
        <v>-28.75</v>
      </c>
      <c r="G142" s="14">
        <f t="shared" ref="G142" ca="1" si="318">-G140*G141</f>
        <v>-28.75</v>
      </c>
      <c r="H142" s="14">
        <f t="shared" ref="H142" ca="1" si="319">-H140*H141</f>
        <v>-28.75</v>
      </c>
      <c r="I142" s="14">
        <f t="shared" ref="I142" ca="1" si="320">-I140*I141</f>
        <v>-28.75</v>
      </c>
      <c r="J142" s="14">
        <f t="shared" ref="J142" ca="1" si="321">-J140*J141</f>
        <v>-28.75</v>
      </c>
      <c r="K142" s="14">
        <f t="shared" ref="K142" ca="1" si="322">-K140*K141</f>
        <v>-28.75</v>
      </c>
      <c r="L142" s="14">
        <f t="shared" ref="L142" ca="1" si="323">-L140*L141</f>
        <v>-28.75</v>
      </c>
      <c r="M142" s="14">
        <f t="shared" ref="M142" ca="1" si="324">-M140*M141</f>
        <v>-28.75</v>
      </c>
      <c r="N142" s="14">
        <f t="shared" ref="N142" ca="1" si="325">-N140*N141</f>
        <v>-28.75</v>
      </c>
      <c r="O142" s="14">
        <f t="shared" ref="O142" ca="1" si="326">-O140*O141</f>
        <v>-28.75</v>
      </c>
      <c r="P142" s="14">
        <f t="shared" ref="P142" ca="1" si="327">-P140*P141</f>
        <v>-28.75</v>
      </c>
      <c r="Q142" s="14">
        <f t="shared" ref="Q142" ca="1" si="328">-Q140*Q141</f>
        <v>-28.75</v>
      </c>
      <c r="R142" s="14">
        <f t="shared" ref="R142" ca="1" si="329">-R140*R141</f>
        <v>-28.75</v>
      </c>
      <c r="S142" s="14"/>
      <c r="T142" s="14"/>
      <c r="U142" s="14"/>
      <c r="V142" s="14"/>
      <c r="W142" s="14"/>
      <c r="X142" s="14"/>
      <c r="Y142" s="14"/>
      <c r="Z142" s="14"/>
      <c r="AE142" s="13"/>
    </row>
    <row r="143" spans="1:31" x14ac:dyDescent="0.35">
      <c r="B143" t="s">
        <v>86</v>
      </c>
      <c r="F143" s="14">
        <f ca="1">F142-F144</f>
        <v>-28.75</v>
      </c>
      <c r="G143" s="14">
        <f t="shared" ref="G143" ca="1" si="330">G142-G144</f>
        <v>-28.75</v>
      </c>
      <c r="H143" s="14">
        <f t="shared" ref="H143" ca="1" si="331">H142-H144</f>
        <v>-28.75</v>
      </c>
      <c r="I143" s="14">
        <f t="shared" ref="I143" ca="1" si="332">I142-I144</f>
        <v>-28.75</v>
      </c>
      <c r="J143" s="14">
        <f t="shared" ref="J143" ca="1" si="333">J142-J144</f>
        <v>-28.75</v>
      </c>
      <c r="K143" s="14">
        <f t="shared" ref="K143" ca="1" si="334">K142-K144</f>
        <v>-28.75</v>
      </c>
      <c r="L143" s="14">
        <f t="shared" ref="L143" ca="1" si="335">L142-L144</f>
        <v>-28.75</v>
      </c>
      <c r="M143" s="14">
        <f t="shared" ref="M143" ca="1" si="336">M142-M144</f>
        <v>-28.75</v>
      </c>
      <c r="N143" s="14">
        <f t="shared" ref="N143" ca="1" si="337">N142-N144</f>
        <v>-28.75</v>
      </c>
      <c r="O143" s="14">
        <f t="shared" ref="O143" ca="1" si="338">O142-O144</f>
        <v>-28.75</v>
      </c>
      <c r="P143" s="14">
        <f t="shared" ref="P143" ca="1" si="339">P142-P144</f>
        <v>-28.75</v>
      </c>
      <c r="Q143" s="14">
        <f t="shared" ref="Q143" ca="1" si="340">Q142-Q144</f>
        <v>-28.75</v>
      </c>
      <c r="R143" s="14">
        <f t="shared" ref="R143" ca="1" si="341">R142-R144</f>
        <v>-28.75</v>
      </c>
      <c r="S143" s="14"/>
      <c r="T143" s="14"/>
      <c r="U143" s="14"/>
      <c r="V143" s="14"/>
      <c r="W143" s="14"/>
      <c r="X143" s="14"/>
      <c r="Y143" s="14"/>
      <c r="Z143" s="14"/>
      <c r="AE143" s="13"/>
    </row>
    <row r="144" spans="1:31" x14ac:dyDescent="0.35">
      <c r="B144" t="s">
        <v>113</v>
      </c>
      <c r="F144" s="14">
        <f t="shared" ref="F144:R144" ca="1" si="342">F142*$AE$70</f>
        <v>0</v>
      </c>
      <c r="G144" s="14">
        <f t="shared" ca="1" si="342"/>
        <v>0</v>
      </c>
      <c r="H144" s="14">
        <f t="shared" ca="1" si="342"/>
        <v>0</v>
      </c>
      <c r="I144" s="14">
        <f t="shared" ca="1" si="342"/>
        <v>0</v>
      </c>
      <c r="J144" s="14">
        <f t="shared" ca="1" si="342"/>
        <v>0</v>
      </c>
      <c r="K144" s="14">
        <f t="shared" ca="1" si="342"/>
        <v>0</v>
      </c>
      <c r="L144" s="14">
        <f t="shared" ca="1" si="342"/>
        <v>0</v>
      </c>
      <c r="M144" s="14">
        <f t="shared" ca="1" si="342"/>
        <v>0</v>
      </c>
      <c r="N144" s="14">
        <f t="shared" ca="1" si="342"/>
        <v>0</v>
      </c>
      <c r="O144" s="14">
        <f t="shared" ca="1" si="342"/>
        <v>0</v>
      </c>
      <c r="P144" s="14">
        <f t="shared" ca="1" si="342"/>
        <v>0</v>
      </c>
      <c r="Q144" s="14">
        <f t="shared" ca="1" si="342"/>
        <v>0</v>
      </c>
      <c r="R144" s="14">
        <f t="shared" ca="1" si="342"/>
        <v>0</v>
      </c>
      <c r="S144" s="14"/>
      <c r="T144" s="14"/>
      <c r="U144" s="14"/>
      <c r="V144" s="14"/>
      <c r="W144" s="14"/>
      <c r="X144" s="14"/>
      <c r="Y144" s="14"/>
      <c r="Z144" s="14"/>
      <c r="AE144" s="13"/>
    </row>
    <row r="145" spans="1:31" x14ac:dyDescent="0.35">
      <c r="AE145" s="13"/>
    </row>
    <row r="146" spans="1:31" x14ac:dyDescent="0.35">
      <c r="AE146" s="13"/>
    </row>
    <row r="147" spans="1:31" x14ac:dyDescent="0.35">
      <c r="A147" t="s">
        <v>0</v>
      </c>
      <c r="B147" s="4" t="s">
        <v>15</v>
      </c>
      <c r="AE147" s="13"/>
    </row>
    <row r="148" spans="1:31" x14ac:dyDescent="0.35">
      <c r="B148" s="4" t="s">
        <v>108</v>
      </c>
      <c r="F148" s="14">
        <f ca="1">E151</f>
        <v>3545</v>
      </c>
      <c r="G148" s="14">
        <f t="shared" ref="G148:V148" ca="1" si="343">F151</f>
        <v>3545</v>
      </c>
      <c r="H148" s="14">
        <f t="shared" ca="1" si="343"/>
        <v>3545</v>
      </c>
      <c r="I148" s="14">
        <f t="shared" ca="1" si="343"/>
        <v>3545</v>
      </c>
      <c r="J148" s="14">
        <f t="shared" ca="1" si="343"/>
        <v>3545</v>
      </c>
      <c r="K148" s="14">
        <f t="shared" ca="1" si="343"/>
        <v>3545</v>
      </c>
      <c r="L148" s="14">
        <f t="shared" ca="1" si="343"/>
        <v>3545</v>
      </c>
      <c r="M148" s="14">
        <f t="shared" ca="1" si="343"/>
        <v>3545</v>
      </c>
      <c r="N148" s="14">
        <f t="shared" ca="1" si="343"/>
        <v>3545</v>
      </c>
      <c r="O148" s="14">
        <f t="shared" ca="1" si="343"/>
        <v>3545</v>
      </c>
      <c r="P148" s="14">
        <f t="shared" ca="1" si="343"/>
        <v>3545</v>
      </c>
      <c r="Q148" s="14">
        <f t="shared" ca="1" si="343"/>
        <v>3545</v>
      </c>
      <c r="R148" s="14">
        <f t="shared" ca="1" si="343"/>
        <v>3545</v>
      </c>
      <c r="S148" s="14">
        <f t="shared" ca="1" si="343"/>
        <v>3545</v>
      </c>
      <c r="T148" s="14">
        <f t="shared" ca="1" si="343"/>
        <v>3545</v>
      </c>
      <c r="U148" s="14">
        <f t="shared" ca="1" si="343"/>
        <v>3545</v>
      </c>
      <c r="V148" s="14">
        <f t="shared" ca="1" si="343"/>
        <v>3545</v>
      </c>
      <c r="W148" s="14"/>
      <c r="X148" s="14"/>
      <c r="Y148" s="14"/>
      <c r="Z148" s="14"/>
      <c r="AE148" s="13"/>
    </row>
    <row r="149" spans="1:31" x14ac:dyDescent="0.35">
      <c r="B149" t="s">
        <v>90</v>
      </c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E149" s="13"/>
    </row>
    <row r="150" spans="1:31" x14ac:dyDescent="0.35">
      <c r="B150" t="s">
        <v>109</v>
      </c>
      <c r="F150" s="14">
        <f ca="1">-F157</f>
        <v>0</v>
      </c>
      <c r="G150" s="14">
        <f t="shared" ref="G150:V150" ca="1" si="344">-G157</f>
        <v>0</v>
      </c>
      <c r="H150" s="14">
        <f t="shared" ca="1" si="344"/>
        <v>0</v>
      </c>
      <c r="I150" s="14">
        <f t="shared" ca="1" si="344"/>
        <v>0</v>
      </c>
      <c r="J150" s="14">
        <f t="shared" ca="1" si="344"/>
        <v>0</v>
      </c>
      <c r="K150" s="14">
        <f t="shared" ca="1" si="344"/>
        <v>0</v>
      </c>
      <c r="L150" s="14">
        <f t="shared" ca="1" si="344"/>
        <v>0</v>
      </c>
      <c r="M150" s="14">
        <f t="shared" ca="1" si="344"/>
        <v>0</v>
      </c>
      <c r="N150" s="14">
        <f t="shared" ca="1" si="344"/>
        <v>0</v>
      </c>
      <c r="O150" s="14">
        <f t="shared" ca="1" si="344"/>
        <v>0</v>
      </c>
      <c r="P150" s="14">
        <f t="shared" ca="1" si="344"/>
        <v>0</v>
      </c>
      <c r="Q150" s="14">
        <f t="shared" ca="1" si="344"/>
        <v>0</v>
      </c>
      <c r="R150" s="14">
        <f t="shared" ca="1" si="344"/>
        <v>0</v>
      </c>
      <c r="S150" s="14">
        <f t="shared" ca="1" si="344"/>
        <v>0</v>
      </c>
      <c r="T150" s="14">
        <f t="shared" ca="1" si="344"/>
        <v>0</v>
      </c>
      <c r="U150" s="14">
        <f t="shared" ca="1" si="344"/>
        <v>0</v>
      </c>
      <c r="V150" s="14">
        <f t="shared" ca="1" si="344"/>
        <v>0</v>
      </c>
      <c r="W150" s="14"/>
      <c r="X150" s="14"/>
      <c r="Y150" s="14"/>
      <c r="Z150" s="14"/>
      <c r="AE150" s="13"/>
    </row>
    <row r="151" spans="1:31" x14ac:dyDescent="0.35">
      <c r="B151" s="8" t="s">
        <v>110</v>
      </c>
      <c r="C151" s="8"/>
      <c r="D151" s="8"/>
      <c r="E151" s="47">
        <f ca="1">$AE$71</f>
        <v>3545</v>
      </c>
      <c r="F151" s="15">
        <f ca="1">SUM(F148:F150)</f>
        <v>3545</v>
      </c>
      <c r="G151" s="15">
        <f t="shared" ref="G151" ca="1" si="345">SUM(G148:G150)</f>
        <v>3545</v>
      </c>
      <c r="H151" s="15">
        <f t="shared" ref="H151" ca="1" si="346">SUM(H148:H150)</f>
        <v>3545</v>
      </c>
      <c r="I151" s="15">
        <f t="shared" ref="I151" ca="1" si="347">SUM(I148:I150)</f>
        <v>3545</v>
      </c>
      <c r="J151" s="15">
        <f t="shared" ref="J151" ca="1" si="348">SUM(J148:J150)</f>
        <v>3545</v>
      </c>
      <c r="K151" s="15">
        <f t="shared" ref="K151" ca="1" si="349">SUM(K148:K150)</f>
        <v>3545</v>
      </c>
      <c r="L151" s="15">
        <f t="shared" ref="L151" ca="1" si="350">SUM(L148:L150)</f>
        <v>3545</v>
      </c>
      <c r="M151" s="15">
        <f t="shared" ref="M151" ca="1" si="351">SUM(M148:M150)</f>
        <v>3545</v>
      </c>
      <c r="N151" s="15">
        <f t="shared" ref="N151" ca="1" si="352">SUM(N148:N150)</f>
        <v>3545</v>
      </c>
      <c r="O151" s="15">
        <f t="shared" ref="O151" ca="1" si="353">SUM(O148:O150)</f>
        <v>3545</v>
      </c>
      <c r="P151" s="15">
        <f t="shared" ref="P151" ca="1" si="354">SUM(P148:P150)</f>
        <v>3545</v>
      </c>
      <c r="Q151" s="15">
        <f t="shared" ref="Q151" ca="1" si="355">SUM(Q148:Q150)</f>
        <v>3545</v>
      </c>
      <c r="R151" s="15">
        <f t="shared" ref="R151" ca="1" si="356">SUM(R148:R150)</f>
        <v>3545</v>
      </c>
      <c r="S151" s="15">
        <f t="shared" ref="S151" ca="1" si="357">SUM(S148:S150)</f>
        <v>3545</v>
      </c>
      <c r="T151" s="15">
        <f t="shared" ref="T151" ca="1" si="358">SUM(T148:T150)</f>
        <v>3545</v>
      </c>
      <c r="U151" s="15">
        <f t="shared" ref="U151" ca="1" si="359">SUM(U148:U150)</f>
        <v>3545</v>
      </c>
      <c r="V151" s="15">
        <f t="shared" ref="V151" ca="1" si="360">SUM(V148:V150)</f>
        <v>3545</v>
      </c>
      <c r="W151" s="49"/>
      <c r="X151" s="49"/>
      <c r="Y151" s="49"/>
      <c r="Z151" s="49"/>
      <c r="AE151" s="13"/>
    </row>
    <row r="152" spans="1:31" x14ac:dyDescent="0.35"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E152" s="13"/>
    </row>
    <row r="153" spans="1:31" x14ac:dyDescent="0.35">
      <c r="B153" t="s">
        <v>111</v>
      </c>
      <c r="F153" s="14">
        <f ca="1">AVERAGE(F151,F148)</f>
        <v>3545</v>
      </c>
      <c r="G153" s="14">
        <f t="shared" ref="G153:V153" ca="1" si="361">AVERAGE(G151,G148)</f>
        <v>3545</v>
      </c>
      <c r="H153" s="14">
        <f t="shared" ca="1" si="361"/>
        <v>3545</v>
      </c>
      <c r="I153" s="14">
        <f t="shared" ca="1" si="361"/>
        <v>3545</v>
      </c>
      <c r="J153" s="14">
        <f t="shared" ca="1" si="361"/>
        <v>3545</v>
      </c>
      <c r="K153" s="14">
        <f t="shared" ca="1" si="361"/>
        <v>3545</v>
      </c>
      <c r="L153" s="14">
        <f t="shared" ca="1" si="361"/>
        <v>3545</v>
      </c>
      <c r="M153" s="14">
        <f t="shared" ca="1" si="361"/>
        <v>3545</v>
      </c>
      <c r="N153" s="14">
        <f t="shared" ca="1" si="361"/>
        <v>3545</v>
      </c>
      <c r="O153" s="14">
        <f t="shared" ca="1" si="361"/>
        <v>3545</v>
      </c>
      <c r="P153" s="14">
        <f t="shared" ca="1" si="361"/>
        <v>3545</v>
      </c>
      <c r="Q153" s="14">
        <f t="shared" ca="1" si="361"/>
        <v>3545</v>
      </c>
      <c r="R153" s="14">
        <f t="shared" ca="1" si="361"/>
        <v>3545</v>
      </c>
      <c r="S153" s="14">
        <f t="shared" ca="1" si="361"/>
        <v>3545</v>
      </c>
      <c r="T153" s="14">
        <f t="shared" ca="1" si="361"/>
        <v>3545</v>
      </c>
      <c r="U153" s="14">
        <f t="shared" ca="1" si="361"/>
        <v>3545</v>
      </c>
      <c r="V153" s="14">
        <f t="shared" ca="1" si="361"/>
        <v>3545</v>
      </c>
      <c r="W153" s="14"/>
      <c r="X153" s="14"/>
      <c r="Y153" s="14"/>
      <c r="Z153" s="14"/>
      <c r="AE153" s="13"/>
    </row>
    <row r="154" spans="1:31" x14ac:dyDescent="0.35">
      <c r="B154" t="s">
        <v>2</v>
      </c>
      <c r="F154" s="25">
        <f t="shared" ref="F154:V154" ca="1" si="362">$AE$72/4</f>
        <v>6.2500000000000003E-3</v>
      </c>
      <c r="G154" s="25">
        <f t="shared" ca="1" si="362"/>
        <v>6.2500000000000003E-3</v>
      </c>
      <c r="H154" s="25">
        <f t="shared" ca="1" si="362"/>
        <v>6.2500000000000003E-3</v>
      </c>
      <c r="I154" s="25">
        <f t="shared" ca="1" si="362"/>
        <v>6.2500000000000003E-3</v>
      </c>
      <c r="J154" s="25">
        <f t="shared" ca="1" si="362"/>
        <v>6.2500000000000003E-3</v>
      </c>
      <c r="K154" s="25">
        <f t="shared" ca="1" si="362"/>
        <v>6.2500000000000003E-3</v>
      </c>
      <c r="L154" s="25">
        <f t="shared" ca="1" si="362"/>
        <v>6.2500000000000003E-3</v>
      </c>
      <c r="M154" s="25">
        <f t="shared" ca="1" si="362"/>
        <v>6.2500000000000003E-3</v>
      </c>
      <c r="N154" s="25">
        <f t="shared" ca="1" si="362"/>
        <v>6.2500000000000003E-3</v>
      </c>
      <c r="O154" s="25">
        <f t="shared" ca="1" si="362"/>
        <v>6.2500000000000003E-3</v>
      </c>
      <c r="P154" s="25">
        <f t="shared" ca="1" si="362"/>
        <v>6.2500000000000003E-3</v>
      </c>
      <c r="Q154" s="25">
        <f t="shared" ca="1" si="362"/>
        <v>6.2500000000000003E-3</v>
      </c>
      <c r="R154" s="25">
        <f t="shared" ca="1" si="362"/>
        <v>6.2500000000000003E-3</v>
      </c>
      <c r="S154" s="25">
        <f t="shared" ca="1" si="362"/>
        <v>6.2500000000000003E-3</v>
      </c>
      <c r="T154" s="25">
        <f t="shared" ca="1" si="362"/>
        <v>6.2500000000000003E-3</v>
      </c>
      <c r="U154" s="25">
        <f t="shared" ca="1" si="362"/>
        <v>6.2500000000000003E-3</v>
      </c>
      <c r="V154" s="25">
        <f t="shared" ca="1" si="362"/>
        <v>6.2500000000000003E-3</v>
      </c>
      <c r="W154" s="25"/>
      <c r="X154" s="25"/>
      <c r="Y154" s="25"/>
      <c r="Z154" s="25"/>
      <c r="AE154" s="13"/>
    </row>
    <row r="155" spans="1:31" x14ac:dyDescent="0.35">
      <c r="B155" t="s">
        <v>112</v>
      </c>
      <c r="F155" s="14">
        <f ca="1">-F153*F154</f>
        <v>-22.15625</v>
      </c>
      <c r="G155" s="14">
        <f t="shared" ref="G155" ca="1" si="363">-G153*G154</f>
        <v>-22.15625</v>
      </c>
      <c r="H155" s="14">
        <f t="shared" ref="H155" ca="1" si="364">-H153*H154</f>
        <v>-22.15625</v>
      </c>
      <c r="I155" s="14">
        <f t="shared" ref="I155" ca="1" si="365">-I153*I154</f>
        <v>-22.15625</v>
      </c>
      <c r="J155" s="14">
        <f t="shared" ref="J155" ca="1" si="366">-J153*J154</f>
        <v>-22.15625</v>
      </c>
      <c r="K155" s="14">
        <f t="shared" ref="K155" ca="1" si="367">-K153*K154</f>
        <v>-22.15625</v>
      </c>
      <c r="L155" s="14">
        <f t="shared" ref="L155" ca="1" si="368">-L153*L154</f>
        <v>-22.15625</v>
      </c>
      <c r="M155" s="14">
        <f t="shared" ref="M155" ca="1" si="369">-M153*M154</f>
        <v>-22.15625</v>
      </c>
      <c r="N155" s="14">
        <f t="shared" ref="N155" ca="1" si="370">-N153*N154</f>
        <v>-22.15625</v>
      </c>
      <c r="O155" s="14">
        <f t="shared" ref="O155" ca="1" si="371">-O153*O154</f>
        <v>-22.15625</v>
      </c>
      <c r="P155" s="14">
        <f t="shared" ref="P155" ca="1" si="372">-P153*P154</f>
        <v>-22.15625</v>
      </c>
      <c r="Q155" s="14">
        <f t="shared" ref="Q155" ca="1" si="373">-Q153*Q154</f>
        <v>-22.15625</v>
      </c>
      <c r="R155" s="14">
        <f t="shared" ref="R155" ca="1" si="374">-R153*R154</f>
        <v>-22.15625</v>
      </c>
      <c r="S155" s="14">
        <f t="shared" ref="S155" ca="1" si="375">-S153*S154</f>
        <v>-22.15625</v>
      </c>
      <c r="T155" s="14">
        <f t="shared" ref="T155" ca="1" si="376">-T153*T154</f>
        <v>-22.15625</v>
      </c>
      <c r="U155" s="14">
        <f t="shared" ref="U155" ca="1" si="377">-U153*U154</f>
        <v>-22.15625</v>
      </c>
      <c r="V155" s="14">
        <f t="shared" ref="V155" ca="1" si="378">-V153*V154</f>
        <v>-22.15625</v>
      </c>
      <c r="W155" s="14"/>
      <c r="X155" s="14"/>
      <c r="Y155" s="14"/>
      <c r="Z155" s="14"/>
      <c r="AE155" s="13"/>
    </row>
    <row r="156" spans="1:31" x14ac:dyDescent="0.35">
      <c r="B156" t="s">
        <v>86</v>
      </c>
      <c r="F156" s="14">
        <f ca="1">F155-F157</f>
        <v>-22.15625</v>
      </c>
      <c r="G156" s="14">
        <f t="shared" ref="G156" ca="1" si="379">G155-G157</f>
        <v>-22.15625</v>
      </c>
      <c r="H156" s="14">
        <f t="shared" ref="H156" ca="1" si="380">H155-H157</f>
        <v>-22.15625</v>
      </c>
      <c r="I156" s="14">
        <f t="shared" ref="I156" ca="1" si="381">I155-I157</f>
        <v>-22.15625</v>
      </c>
      <c r="J156" s="14">
        <f t="shared" ref="J156" ca="1" si="382">J155-J157</f>
        <v>-22.15625</v>
      </c>
      <c r="K156" s="14">
        <f t="shared" ref="K156" ca="1" si="383">K155-K157</f>
        <v>-22.15625</v>
      </c>
      <c r="L156" s="14">
        <f t="shared" ref="L156" ca="1" si="384">L155-L157</f>
        <v>-22.15625</v>
      </c>
      <c r="M156" s="14">
        <f t="shared" ref="M156" ca="1" si="385">M155-M157</f>
        <v>-22.15625</v>
      </c>
      <c r="N156" s="14">
        <f t="shared" ref="N156" ca="1" si="386">N155-N157</f>
        <v>-22.15625</v>
      </c>
      <c r="O156" s="14">
        <f t="shared" ref="O156" ca="1" si="387">O155-O157</f>
        <v>-22.15625</v>
      </c>
      <c r="P156" s="14">
        <f t="shared" ref="P156" ca="1" si="388">P155-P157</f>
        <v>-22.15625</v>
      </c>
      <c r="Q156" s="14">
        <f t="shared" ref="Q156" ca="1" si="389">Q155-Q157</f>
        <v>-22.15625</v>
      </c>
      <c r="R156" s="14">
        <f t="shared" ref="R156" ca="1" si="390">R155-R157</f>
        <v>-22.15625</v>
      </c>
      <c r="S156" s="14">
        <f t="shared" ref="S156" ca="1" si="391">S155-S157</f>
        <v>-22.15625</v>
      </c>
      <c r="T156" s="14">
        <f t="shared" ref="T156" ca="1" si="392">T155-T157</f>
        <v>-22.15625</v>
      </c>
      <c r="U156" s="14">
        <f t="shared" ref="U156" ca="1" si="393">U155-U157</f>
        <v>-22.15625</v>
      </c>
      <c r="V156" s="14">
        <f t="shared" ref="V156" ca="1" si="394">V155-V157</f>
        <v>-22.15625</v>
      </c>
      <c r="W156" s="14"/>
      <c r="X156" s="14"/>
      <c r="Y156" s="14"/>
      <c r="Z156" s="14"/>
      <c r="AE156" s="13"/>
    </row>
    <row r="157" spans="1:31" x14ac:dyDescent="0.35">
      <c r="B157" t="s">
        <v>113</v>
      </c>
      <c r="F157" s="14">
        <f t="shared" ref="F157:V157" ca="1" si="395">F155*$AE$73</f>
        <v>0</v>
      </c>
      <c r="G157" s="14">
        <f t="shared" ca="1" si="395"/>
        <v>0</v>
      </c>
      <c r="H157" s="14">
        <f t="shared" ca="1" si="395"/>
        <v>0</v>
      </c>
      <c r="I157" s="14">
        <f t="shared" ca="1" si="395"/>
        <v>0</v>
      </c>
      <c r="J157" s="14">
        <f t="shared" ca="1" si="395"/>
        <v>0</v>
      </c>
      <c r="K157" s="14">
        <f t="shared" ca="1" si="395"/>
        <v>0</v>
      </c>
      <c r="L157" s="14">
        <f t="shared" ca="1" si="395"/>
        <v>0</v>
      </c>
      <c r="M157" s="14">
        <f t="shared" ca="1" si="395"/>
        <v>0</v>
      </c>
      <c r="N157" s="14">
        <f t="shared" ca="1" si="395"/>
        <v>0</v>
      </c>
      <c r="O157" s="14">
        <f t="shared" ca="1" si="395"/>
        <v>0</v>
      </c>
      <c r="P157" s="14">
        <f t="shared" ca="1" si="395"/>
        <v>0</v>
      </c>
      <c r="Q157" s="14">
        <f t="shared" ca="1" si="395"/>
        <v>0</v>
      </c>
      <c r="R157" s="14">
        <f t="shared" ca="1" si="395"/>
        <v>0</v>
      </c>
      <c r="S157" s="14">
        <f t="shared" ca="1" si="395"/>
        <v>0</v>
      </c>
      <c r="T157" s="14">
        <f t="shared" ca="1" si="395"/>
        <v>0</v>
      </c>
      <c r="U157" s="14">
        <f t="shared" ca="1" si="395"/>
        <v>0</v>
      </c>
      <c r="V157" s="14">
        <f t="shared" ca="1" si="395"/>
        <v>0</v>
      </c>
      <c r="W157" s="14"/>
      <c r="X157" s="14"/>
      <c r="Y157" s="14"/>
      <c r="Z157" s="14"/>
      <c r="AE157" s="13"/>
    </row>
    <row r="158" spans="1:31" x14ac:dyDescent="0.35">
      <c r="AE158" s="13"/>
    </row>
    <row r="159" spans="1:31" x14ac:dyDescent="0.35">
      <c r="AE159" s="13"/>
    </row>
    <row r="160" spans="1:31" x14ac:dyDescent="0.35">
      <c r="A160" t="s">
        <v>0</v>
      </c>
      <c r="B160" s="4" t="s">
        <v>16</v>
      </c>
      <c r="AE160" s="13"/>
    </row>
    <row r="161" spans="1:31" x14ac:dyDescent="0.35">
      <c r="B161" s="4" t="s">
        <v>108</v>
      </c>
      <c r="F161" s="14">
        <f ca="1">E164</f>
        <v>2793</v>
      </c>
      <c r="G161" s="14">
        <f t="shared" ref="G161:R161" ca="1" si="396">F164</f>
        <v>2793</v>
      </c>
      <c r="H161" s="14">
        <f t="shared" ca="1" si="396"/>
        <v>2793</v>
      </c>
      <c r="I161" s="14">
        <f t="shared" ca="1" si="396"/>
        <v>2793</v>
      </c>
      <c r="J161" s="14">
        <f t="shared" ca="1" si="396"/>
        <v>2793</v>
      </c>
      <c r="K161" s="14">
        <f t="shared" ca="1" si="396"/>
        <v>2793</v>
      </c>
      <c r="L161" s="14">
        <f t="shared" ca="1" si="396"/>
        <v>2793</v>
      </c>
      <c r="M161" s="14">
        <f t="shared" ca="1" si="396"/>
        <v>2793</v>
      </c>
      <c r="N161" s="14">
        <f t="shared" ca="1" si="396"/>
        <v>2793</v>
      </c>
      <c r="O161" s="14">
        <f t="shared" ca="1" si="396"/>
        <v>2793</v>
      </c>
      <c r="P161" s="14">
        <f t="shared" ca="1" si="396"/>
        <v>2793</v>
      </c>
      <c r="Q161" s="14">
        <f t="shared" ca="1" si="396"/>
        <v>2793</v>
      </c>
      <c r="R161" s="14">
        <f t="shared" ca="1" si="396"/>
        <v>2793</v>
      </c>
      <c r="X161" s="14"/>
      <c r="Y161" s="14"/>
      <c r="Z161" s="14"/>
      <c r="AE161" s="13"/>
    </row>
    <row r="162" spans="1:31" x14ac:dyDescent="0.35">
      <c r="B162" t="s">
        <v>90</v>
      </c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X162" s="14"/>
      <c r="Y162" s="14"/>
      <c r="Z162" s="14"/>
      <c r="AE162" s="13"/>
    </row>
    <row r="163" spans="1:31" x14ac:dyDescent="0.35">
      <c r="B163" t="s">
        <v>109</v>
      </c>
      <c r="F163" s="14">
        <f ca="1">-F170</f>
        <v>0</v>
      </c>
      <c r="G163" s="14">
        <f t="shared" ref="G163:R163" ca="1" si="397">-G170</f>
        <v>0</v>
      </c>
      <c r="H163" s="14">
        <f t="shared" ca="1" si="397"/>
        <v>0</v>
      </c>
      <c r="I163" s="14">
        <f t="shared" ca="1" si="397"/>
        <v>0</v>
      </c>
      <c r="J163" s="14">
        <f t="shared" ca="1" si="397"/>
        <v>0</v>
      </c>
      <c r="K163" s="14">
        <f t="shared" ca="1" si="397"/>
        <v>0</v>
      </c>
      <c r="L163" s="14">
        <f t="shared" ca="1" si="397"/>
        <v>0</v>
      </c>
      <c r="M163" s="14">
        <f t="shared" ca="1" si="397"/>
        <v>0</v>
      </c>
      <c r="N163" s="14">
        <f t="shared" ca="1" si="397"/>
        <v>0</v>
      </c>
      <c r="O163" s="14">
        <f t="shared" ca="1" si="397"/>
        <v>0</v>
      </c>
      <c r="P163" s="14">
        <f t="shared" ca="1" si="397"/>
        <v>0</v>
      </c>
      <c r="Q163" s="14">
        <f t="shared" ca="1" si="397"/>
        <v>0</v>
      </c>
      <c r="R163" s="14">
        <f t="shared" ca="1" si="397"/>
        <v>0</v>
      </c>
      <c r="X163" s="14"/>
      <c r="Y163" s="14"/>
      <c r="Z163" s="14"/>
      <c r="AE163" s="13"/>
    </row>
    <row r="164" spans="1:31" x14ac:dyDescent="0.35">
      <c r="B164" s="8" t="s">
        <v>110</v>
      </c>
      <c r="C164" s="8"/>
      <c r="D164" s="8"/>
      <c r="E164" s="47">
        <f ca="1">$AE$74</f>
        <v>2793</v>
      </c>
      <c r="F164" s="15">
        <f ca="1">SUM(F161:F163)</f>
        <v>2793</v>
      </c>
      <c r="G164" s="15">
        <f t="shared" ref="G164" ca="1" si="398">SUM(G161:G163)</f>
        <v>2793</v>
      </c>
      <c r="H164" s="15">
        <f t="shared" ref="H164" ca="1" si="399">SUM(H161:H163)</f>
        <v>2793</v>
      </c>
      <c r="I164" s="15">
        <f t="shared" ref="I164" ca="1" si="400">SUM(I161:I163)</f>
        <v>2793</v>
      </c>
      <c r="J164" s="15">
        <f t="shared" ref="J164" ca="1" si="401">SUM(J161:J163)</f>
        <v>2793</v>
      </c>
      <c r="K164" s="15">
        <f t="shared" ref="K164" ca="1" si="402">SUM(K161:K163)</f>
        <v>2793</v>
      </c>
      <c r="L164" s="15">
        <f t="shared" ref="L164" ca="1" si="403">SUM(L161:L163)</f>
        <v>2793</v>
      </c>
      <c r="M164" s="15">
        <f t="shared" ref="M164" ca="1" si="404">SUM(M161:M163)</f>
        <v>2793</v>
      </c>
      <c r="N164" s="15">
        <f t="shared" ref="N164" ca="1" si="405">SUM(N161:N163)</f>
        <v>2793</v>
      </c>
      <c r="O164" s="15">
        <f t="shared" ref="O164" ca="1" si="406">SUM(O161:O163)</f>
        <v>2793</v>
      </c>
      <c r="P164" s="15">
        <f t="shared" ref="P164" ca="1" si="407">SUM(P161:P163)</f>
        <v>2793</v>
      </c>
      <c r="Q164" s="15">
        <f t="shared" ref="Q164" ca="1" si="408">SUM(Q161:Q163)</f>
        <v>2793</v>
      </c>
      <c r="R164" s="15">
        <f t="shared" ref="R164" ca="1" si="409">SUM(R161:R163)</f>
        <v>2793</v>
      </c>
      <c r="X164" s="49"/>
      <c r="Y164" s="49"/>
      <c r="Z164" s="49"/>
      <c r="AE164" s="13"/>
    </row>
    <row r="165" spans="1:31" x14ac:dyDescent="0.35"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X165" s="14"/>
      <c r="Y165" s="14"/>
      <c r="Z165" s="14"/>
      <c r="AE165" s="13"/>
    </row>
    <row r="166" spans="1:31" x14ac:dyDescent="0.35">
      <c r="B166" t="s">
        <v>111</v>
      </c>
      <c r="F166" s="14">
        <f ca="1">AVERAGE(F164,F161)</f>
        <v>2793</v>
      </c>
      <c r="G166" s="14">
        <f t="shared" ref="G166:R166" ca="1" si="410">AVERAGE(G164,G161)</f>
        <v>2793</v>
      </c>
      <c r="H166" s="14">
        <f t="shared" ca="1" si="410"/>
        <v>2793</v>
      </c>
      <c r="I166" s="14">
        <f t="shared" ca="1" si="410"/>
        <v>2793</v>
      </c>
      <c r="J166" s="14">
        <f t="shared" ca="1" si="410"/>
        <v>2793</v>
      </c>
      <c r="K166" s="14">
        <f t="shared" ca="1" si="410"/>
        <v>2793</v>
      </c>
      <c r="L166" s="14">
        <f t="shared" ca="1" si="410"/>
        <v>2793</v>
      </c>
      <c r="M166" s="14">
        <f t="shared" ca="1" si="410"/>
        <v>2793</v>
      </c>
      <c r="N166" s="14">
        <f t="shared" ca="1" si="410"/>
        <v>2793</v>
      </c>
      <c r="O166" s="14">
        <f t="shared" ca="1" si="410"/>
        <v>2793</v>
      </c>
      <c r="P166" s="14">
        <f t="shared" ca="1" si="410"/>
        <v>2793</v>
      </c>
      <c r="Q166" s="14">
        <f t="shared" ca="1" si="410"/>
        <v>2793</v>
      </c>
      <c r="R166" s="14">
        <f t="shared" ca="1" si="410"/>
        <v>2793</v>
      </c>
      <c r="X166" s="14"/>
      <c r="Y166" s="14"/>
      <c r="Z166" s="14"/>
      <c r="AE166" s="13"/>
    </row>
    <row r="167" spans="1:31" x14ac:dyDescent="0.35">
      <c r="B167" t="s">
        <v>2</v>
      </c>
      <c r="F167" s="25">
        <f t="shared" ref="F167:R167" ca="1" si="411">$AE$75/4</f>
        <v>6.2500000000000003E-3</v>
      </c>
      <c r="G167" s="25">
        <f t="shared" ca="1" si="411"/>
        <v>6.2500000000000003E-3</v>
      </c>
      <c r="H167" s="25">
        <f t="shared" ca="1" si="411"/>
        <v>6.2500000000000003E-3</v>
      </c>
      <c r="I167" s="25">
        <f t="shared" ca="1" si="411"/>
        <v>6.2500000000000003E-3</v>
      </c>
      <c r="J167" s="25">
        <f t="shared" ca="1" si="411"/>
        <v>6.2500000000000003E-3</v>
      </c>
      <c r="K167" s="25">
        <f t="shared" ca="1" si="411"/>
        <v>6.2500000000000003E-3</v>
      </c>
      <c r="L167" s="25">
        <f t="shared" ca="1" si="411"/>
        <v>6.2500000000000003E-3</v>
      </c>
      <c r="M167" s="25">
        <f t="shared" ca="1" si="411"/>
        <v>6.2500000000000003E-3</v>
      </c>
      <c r="N167" s="25">
        <f t="shared" ca="1" si="411"/>
        <v>6.2500000000000003E-3</v>
      </c>
      <c r="O167" s="25">
        <f t="shared" ca="1" si="411"/>
        <v>6.2500000000000003E-3</v>
      </c>
      <c r="P167" s="25">
        <f t="shared" ca="1" si="411"/>
        <v>6.2500000000000003E-3</v>
      </c>
      <c r="Q167" s="25">
        <f t="shared" ca="1" si="411"/>
        <v>6.2500000000000003E-3</v>
      </c>
      <c r="R167" s="25">
        <f t="shared" ca="1" si="411"/>
        <v>6.2500000000000003E-3</v>
      </c>
      <c r="X167" s="25"/>
      <c r="Y167" s="25"/>
      <c r="Z167" s="25"/>
      <c r="AE167" s="13"/>
    </row>
    <row r="168" spans="1:31" x14ac:dyDescent="0.35">
      <c r="B168" t="s">
        <v>112</v>
      </c>
      <c r="F168" s="14">
        <f ca="1">-F166*F167</f>
        <v>-17.456250000000001</v>
      </c>
      <c r="G168" s="14">
        <f t="shared" ref="G168" ca="1" si="412">-G166*G167</f>
        <v>-17.456250000000001</v>
      </c>
      <c r="H168" s="14">
        <f t="shared" ref="H168" ca="1" si="413">-H166*H167</f>
        <v>-17.456250000000001</v>
      </c>
      <c r="I168" s="14">
        <f t="shared" ref="I168" ca="1" si="414">-I166*I167</f>
        <v>-17.456250000000001</v>
      </c>
      <c r="J168" s="14">
        <f t="shared" ref="J168" ca="1" si="415">-J166*J167</f>
        <v>-17.456250000000001</v>
      </c>
      <c r="K168" s="14">
        <f t="shared" ref="K168" ca="1" si="416">-K166*K167</f>
        <v>-17.456250000000001</v>
      </c>
      <c r="L168" s="14">
        <f t="shared" ref="L168" ca="1" si="417">-L166*L167</f>
        <v>-17.456250000000001</v>
      </c>
      <c r="M168" s="14">
        <f t="shared" ref="M168" ca="1" si="418">-M166*M167</f>
        <v>-17.456250000000001</v>
      </c>
      <c r="N168" s="14">
        <f t="shared" ref="N168" ca="1" si="419">-N166*N167</f>
        <v>-17.456250000000001</v>
      </c>
      <c r="O168" s="14">
        <f t="shared" ref="O168" ca="1" si="420">-O166*O167</f>
        <v>-17.456250000000001</v>
      </c>
      <c r="P168" s="14">
        <f t="shared" ref="P168" ca="1" si="421">-P166*P167</f>
        <v>-17.456250000000001</v>
      </c>
      <c r="Q168" s="14">
        <f t="shared" ref="Q168" ca="1" si="422">-Q166*Q167</f>
        <v>-17.456250000000001</v>
      </c>
      <c r="R168" s="14">
        <f t="shared" ref="R168" ca="1" si="423">-R166*R167</f>
        <v>-17.456250000000001</v>
      </c>
      <c r="X168" s="14"/>
      <c r="Y168" s="14"/>
      <c r="Z168" s="14"/>
      <c r="AE168" s="13"/>
    </row>
    <row r="169" spans="1:31" x14ac:dyDescent="0.35">
      <c r="B169" t="s">
        <v>86</v>
      </c>
      <c r="F169" s="14">
        <f ca="1">F168-F170</f>
        <v>-17.456250000000001</v>
      </c>
      <c r="G169" s="14">
        <f t="shared" ref="G169" ca="1" si="424">G168-G170</f>
        <v>-17.456250000000001</v>
      </c>
      <c r="H169" s="14">
        <f t="shared" ref="H169" ca="1" si="425">H168-H170</f>
        <v>-17.456250000000001</v>
      </c>
      <c r="I169" s="14">
        <f t="shared" ref="I169" ca="1" si="426">I168-I170</f>
        <v>-17.456250000000001</v>
      </c>
      <c r="J169" s="14">
        <f t="shared" ref="J169" ca="1" si="427">J168-J170</f>
        <v>-17.456250000000001</v>
      </c>
      <c r="K169" s="14">
        <f t="shared" ref="K169" ca="1" si="428">K168-K170</f>
        <v>-17.456250000000001</v>
      </c>
      <c r="L169" s="14">
        <f t="shared" ref="L169" ca="1" si="429">L168-L170</f>
        <v>-17.456250000000001</v>
      </c>
      <c r="M169" s="14">
        <f t="shared" ref="M169" ca="1" si="430">M168-M170</f>
        <v>-17.456250000000001</v>
      </c>
      <c r="N169" s="14">
        <f t="shared" ref="N169" ca="1" si="431">N168-N170</f>
        <v>-17.456250000000001</v>
      </c>
      <c r="O169" s="14">
        <f t="shared" ref="O169" ca="1" si="432">O168-O170</f>
        <v>-17.456250000000001</v>
      </c>
      <c r="P169" s="14">
        <f t="shared" ref="P169" ca="1" si="433">P168-P170</f>
        <v>-17.456250000000001</v>
      </c>
      <c r="Q169" s="14">
        <f t="shared" ref="Q169" ca="1" si="434">Q168-Q170</f>
        <v>-17.456250000000001</v>
      </c>
      <c r="R169" s="14">
        <f t="shared" ref="R169" ca="1" si="435">R168-R170</f>
        <v>-17.456250000000001</v>
      </c>
      <c r="X169" s="14"/>
      <c r="Y169" s="14"/>
      <c r="Z169" s="14"/>
      <c r="AE169" s="13"/>
    </row>
    <row r="170" spans="1:31" x14ac:dyDescent="0.35">
      <c r="B170" t="s">
        <v>113</v>
      </c>
      <c r="F170" s="14">
        <f t="shared" ref="F170:R170" ca="1" si="436">F168*$AE$76</f>
        <v>0</v>
      </c>
      <c r="G170" s="14">
        <f t="shared" ca="1" si="436"/>
        <v>0</v>
      </c>
      <c r="H170" s="14">
        <f t="shared" ca="1" si="436"/>
        <v>0</v>
      </c>
      <c r="I170" s="14">
        <f t="shared" ca="1" si="436"/>
        <v>0</v>
      </c>
      <c r="J170" s="14">
        <f t="shared" ca="1" si="436"/>
        <v>0</v>
      </c>
      <c r="K170" s="14">
        <f t="shared" ca="1" si="436"/>
        <v>0</v>
      </c>
      <c r="L170" s="14">
        <f t="shared" ca="1" si="436"/>
        <v>0</v>
      </c>
      <c r="M170" s="14">
        <f t="shared" ca="1" si="436"/>
        <v>0</v>
      </c>
      <c r="N170" s="14">
        <f t="shared" ca="1" si="436"/>
        <v>0</v>
      </c>
      <c r="O170" s="14">
        <f t="shared" ca="1" si="436"/>
        <v>0</v>
      </c>
      <c r="P170" s="14">
        <f t="shared" ca="1" si="436"/>
        <v>0</v>
      </c>
      <c r="Q170" s="14">
        <f t="shared" ca="1" si="436"/>
        <v>0</v>
      </c>
      <c r="R170" s="14">
        <f t="shared" ca="1" si="436"/>
        <v>0</v>
      </c>
      <c r="X170" s="14"/>
      <c r="Y170" s="14"/>
      <c r="Z170" s="14"/>
      <c r="AE170" s="13"/>
    </row>
    <row r="171" spans="1:31" x14ac:dyDescent="0.35">
      <c r="AE171" s="13"/>
    </row>
    <row r="172" spans="1:31" x14ac:dyDescent="0.35">
      <c r="A172" t="s">
        <v>0</v>
      </c>
      <c r="B172" s="4" t="s">
        <v>17</v>
      </c>
      <c r="AE172" s="13"/>
    </row>
    <row r="173" spans="1:31" x14ac:dyDescent="0.35">
      <c r="B173" s="4" t="s">
        <v>108</v>
      </c>
      <c r="F173" s="14">
        <f ca="1">E176</f>
        <v>3206</v>
      </c>
      <c r="G173" s="14">
        <f t="shared" ref="G173:V173" ca="1" si="437">F176</f>
        <v>3206</v>
      </c>
      <c r="H173" s="14">
        <f t="shared" ca="1" si="437"/>
        <v>3206</v>
      </c>
      <c r="I173" s="14">
        <f t="shared" ca="1" si="437"/>
        <v>3206</v>
      </c>
      <c r="J173" s="14">
        <f t="shared" ca="1" si="437"/>
        <v>3206</v>
      </c>
      <c r="K173" s="14">
        <f t="shared" ca="1" si="437"/>
        <v>3206</v>
      </c>
      <c r="L173" s="14">
        <f t="shared" ca="1" si="437"/>
        <v>3206</v>
      </c>
      <c r="M173" s="14">
        <f t="shared" ca="1" si="437"/>
        <v>3206</v>
      </c>
      <c r="N173" s="14">
        <f t="shared" ca="1" si="437"/>
        <v>3206</v>
      </c>
      <c r="O173" s="14">
        <f t="shared" ca="1" si="437"/>
        <v>3206</v>
      </c>
      <c r="P173" s="14">
        <f t="shared" ca="1" si="437"/>
        <v>3206</v>
      </c>
      <c r="Q173" s="14">
        <f t="shared" ca="1" si="437"/>
        <v>3206</v>
      </c>
      <c r="R173" s="14">
        <f t="shared" ca="1" si="437"/>
        <v>3206</v>
      </c>
      <c r="S173" s="14">
        <f t="shared" ca="1" si="437"/>
        <v>3206</v>
      </c>
      <c r="T173" s="14">
        <f t="shared" ca="1" si="437"/>
        <v>3206</v>
      </c>
      <c r="U173" s="14">
        <f t="shared" ca="1" si="437"/>
        <v>3206</v>
      </c>
      <c r="V173" s="14">
        <f t="shared" ca="1" si="437"/>
        <v>3206</v>
      </c>
      <c r="W173" s="14"/>
      <c r="X173" s="14"/>
      <c r="Y173" s="14"/>
      <c r="Z173" s="14"/>
      <c r="AE173" s="13">
        <f t="shared" ca="1" si="8"/>
        <v>0</v>
      </c>
    </row>
    <row r="174" spans="1:31" x14ac:dyDescent="0.35">
      <c r="B174" t="s">
        <v>90</v>
      </c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E174" s="13">
        <f t="shared" ca="1" si="8"/>
        <v>0</v>
      </c>
    </row>
    <row r="175" spans="1:31" x14ac:dyDescent="0.35">
      <c r="B175" t="s">
        <v>109</v>
      </c>
      <c r="F175" s="14">
        <f ca="1">-F182</f>
        <v>0</v>
      </c>
      <c r="G175" s="14">
        <f t="shared" ref="G175:V175" ca="1" si="438">-G182</f>
        <v>0</v>
      </c>
      <c r="H175" s="14">
        <f t="shared" ca="1" si="438"/>
        <v>0</v>
      </c>
      <c r="I175" s="14">
        <f t="shared" ca="1" si="438"/>
        <v>0</v>
      </c>
      <c r="J175" s="14">
        <f t="shared" ca="1" si="438"/>
        <v>0</v>
      </c>
      <c r="K175" s="14">
        <f t="shared" ca="1" si="438"/>
        <v>0</v>
      </c>
      <c r="L175" s="14">
        <f t="shared" ca="1" si="438"/>
        <v>0</v>
      </c>
      <c r="M175" s="14">
        <f t="shared" ca="1" si="438"/>
        <v>0</v>
      </c>
      <c r="N175" s="14">
        <f t="shared" ca="1" si="438"/>
        <v>0</v>
      </c>
      <c r="O175" s="14">
        <f t="shared" ca="1" si="438"/>
        <v>0</v>
      </c>
      <c r="P175" s="14">
        <f t="shared" ca="1" si="438"/>
        <v>0</v>
      </c>
      <c r="Q175" s="14">
        <f t="shared" ca="1" si="438"/>
        <v>0</v>
      </c>
      <c r="R175" s="14">
        <f t="shared" ca="1" si="438"/>
        <v>0</v>
      </c>
      <c r="S175" s="14">
        <f t="shared" ca="1" si="438"/>
        <v>0</v>
      </c>
      <c r="T175" s="14">
        <f t="shared" ca="1" si="438"/>
        <v>0</v>
      </c>
      <c r="U175" s="14">
        <f t="shared" ca="1" si="438"/>
        <v>0</v>
      </c>
      <c r="V175" s="14">
        <f t="shared" ca="1" si="438"/>
        <v>0</v>
      </c>
      <c r="W175" s="14"/>
      <c r="X175" s="14"/>
      <c r="Y175" s="14"/>
      <c r="Z175" s="14"/>
    </row>
    <row r="176" spans="1:31" x14ac:dyDescent="0.35">
      <c r="B176" s="8" t="s">
        <v>110</v>
      </c>
      <c r="C176" s="8"/>
      <c r="D176" s="8"/>
      <c r="E176" s="47">
        <f ca="1">$AE$77</f>
        <v>3206</v>
      </c>
      <c r="F176" s="15">
        <f ca="1">SUM(F173:F175)</f>
        <v>3206</v>
      </c>
      <c r="G176" s="15">
        <f t="shared" ref="G176" ca="1" si="439">SUM(G173:G175)</f>
        <v>3206</v>
      </c>
      <c r="H176" s="15">
        <f t="shared" ref="H176" ca="1" si="440">SUM(H173:H175)</f>
        <v>3206</v>
      </c>
      <c r="I176" s="15">
        <f t="shared" ref="I176" ca="1" si="441">SUM(I173:I175)</f>
        <v>3206</v>
      </c>
      <c r="J176" s="15">
        <f t="shared" ref="J176" ca="1" si="442">SUM(J173:J175)</f>
        <v>3206</v>
      </c>
      <c r="K176" s="15">
        <f t="shared" ref="K176" ca="1" si="443">SUM(K173:K175)</f>
        <v>3206</v>
      </c>
      <c r="L176" s="15">
        <f t="shared" ref="L176" ca="1" si="444">SUM(L173:L175)</f>
        <v>3206</v>
      </c>
      <c r="M176" s="15">
        <f t="shared" ref="M176" ca="1" si="445">SUM(M173:M175)</f>
        <v>3206</v>
      </c>
      <c r="N176" s="15">
        <f t="shared" ref="N176" ca="1" si="446">SUM(N173:N175)</f>
        <v>3206</v>
      </c>
      <c r="O176" s="15">
        <f t="shared" ref="O176" ca="1" si="447">SUM(O173:O175)</f>
        <v>3206</v>
      </c>
      <c r="P176" s="15">
        <f t="shared" ref="P176" ca="1" si="448">SUM(P173:P175)</f>
        <v>3206</v>
      </c>
      <c r="Q176" s="15">
        <f t="shared" ref="Q176" ca="1" si="449">SUM(Q173:Q175)</f>
        <v>3206</v>
      </c>
      <c r="R176" s="15">
        <f t="shared" ref="R176" ca="1" si="450">SUM(R173:R175)</f>
        <v>3206</v>
      </c>
      <c r="S176" s="15">
        <f t="shared" ref="S176" ca="1" si="451">SUM(S173:S175)</f>
        <v>3206</v>
      </c>
      <c r="T176" s="15">
        <f t="shared" ref="T176" ca="1" si="452">SUM(T173:T175)</f>
        <v>3206</v>
      </c>
      <c r="U176" s="15">
        <f t="shared" ref="U176" ca="1" si="453">SUM(U173:U175)</f>
        <v>3206</v>
      </c>
      <c r="V176" s="15">
        <f t="shared" ref="V176" ca="1" si="454">SUM(V173:V175)</f>
        <v>3206</v>
      </c>
      <c r="W176" s="49"/>
      <c r="X176" s="49"/>
      <c r="Y176" s="49"/>
      <c r="Z176" s="49"/>
    </row>
    <row r="177" spans="1:26" x14ac:dyDescent="0.35"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x14ac:dyDescent="0.35">
      <c r="B178" t="s">
        <v>111</v>
      </c>
      <c r="F178" s="14">
        <f ca="1">AVERAGE(F176,F173)</f>
        <v>3206</v>
      </c>
      <c r="G178" s="14">
        <f t="shared" ref="G178:V178" ca="1" si="455">AVERAGE(G176,G173)</f>
        <v>3206</v>
      </c>
      <c r="H178" s="14">
        <f t="shared" ca="1" si="455"/>
        <v>3206</v>
      </c>
      <c r="I178" s="14">
        <f t="shared" ca="1" si="455"/>
        <v>3206</v>
      </c>
      <c r="J178" s="14">
        <f t="shared" ca="1" si="455"/>
        <v>3206</v>
      </c>
      <c r="K178" s="14">
        <f t="shared" ca="1" si="455"/>
        <v>3206</v>
      </c>
      <c r="L178" s="14">
        <f t="shared" ca="1" si="455"/>
        <v>3206</v>
      </c>
      <c r="M178" s="14">
        <f t="shared" ca="1" si="455"/>
        <v>3206</v>
      </c>
      <c r="N178" s="14">
        <f t="shared" ca="1" si="455"/>
        <v>3206</v>
      </c>
      <c r="O178" s="14">
        <f t="shared" ca="1" si="455"/>
        <v>3206</v>
      </c>
      <c r="P178" s="14">
        <f t="shared" ca="1" si="455"/>
        <v>3206</v>
      </c>
      <c r="Q178" s="14">
        <f t="shared" ca="1" si="455"/>
        <v>3206</v>
      </c>
      <c r="R178" s="14">
        <f t="shared" ca="1" si="455"/>
        <v>3206</v>
      </c>
      <c r="S178" s="14">
        <f t="shared" ca="1" si="455"/>
        <v>3206</v>
      </c>
      <c r="T178" s="14">
        <f t="shared" ca="1" si="455"/>
        <v>3206</v>
      </c>
      <c r="U178" s="14">
        <f t="shared" ca="1" si="455"/>
        <v>3206</v>
      </c>
      <c r="V178" s="14">
        <f t="shared" ca="1" si="455"/>
        <v>3206</v>
      </c>
      <c r="W178" s="14"/>
      <c r="X178" s="14"/>
      <c r="Y178" s="14"/>
      <c r="Z178" s="14"/>
    </row>
    <row r="179" spans="1:26" x14ac:dyDescent="0.35">
      <c r="B179" t="s">
        <v>2</v>
      </c>
      <c r="F179" s="25">
        <f t="shared" ref="F179:V179" ca="1" si="456">$AE$78/4</f>
        <v>9.3749999999999997E-3</v>
      </c>
      <c r="G179" s="25">
        <f t="shared" ca="1" si="456"/>
        <v>9.3749999999999997E-3</v>
      </c>
      <c r="H179" s="25">
        <f t="shared" ca="1" si="456"/>
        <v>9.3749999999999997E-3</v>
      </c>
      <c r="I179" s="25">
        <f t="shared" ca="1" si="456"/>
        <v>9.3749999999999997E-3</v>
      </c>
      <c r="J179" s="25">
        <f t="shared" ca="1" si="456"/>
        <v>9.3749999999999997E-3</v>
      </c>
      <c r="K179" s="25">
        <f t="shared" ca="1" si="456"/>
        <v>9.3749999999999997E-3</v>
      </c>
      <c r="L179" s="25">
        <f t="shared" ca="1" si="456"/>
        <v>9.3749999999999997E-3</v>
      </c>
      <c r="M179" s="25">
        <f t="shared" ca="1" si="456"/>
        <v>9.3749999999999997E-3</v>
      </c>
      <c r="N179" s="25">
        <f t="shared" ca="1" si="456"/>
        <v>9.3749999999999997E-3</v>
      </c>
      <c r="O179" s="25">
        <f t="shared" ca="1" si="456"/>
        <v>9.3749999999999997E-3</v>
      </c>
      <c r="P179" s="25">
        <f t="shared" ca="1" si="456"/>
        <v>9.3749999999999997E-3</v>
      </c>
      <c r="Q179" s="25">
        <f t="shared" ca="1" si="456"/>
        <v>9.3749999999999997E-3</v>
      </c>
      <c r="R179" s="25">
        <f t="shared" ca="1" si="456"/>
        <v>9.3749999999999997E-3</v>
      </c>
      <c r="S179" s="25">
        <f t="shared" ca="1" si="456"/>
        <v>9.3749999999999997E-3</v>
      </c>
      <c r="T179" s="25">
        <f t="shared" ca="1" si="456"/>
        <v>9.3749999999999997E-3</v>
      </c>
      <c r="U179" s="25">
        <f t="shared" ca="1" si="456"/>
        <v>9.3749999999999997E-3</v>
      </c>
      <c r="V179" s="25">
        <f t="shared" ca="1" si="456"/>
        <v>9.3749999999999997E-3</v>
      </c>
      <c r="W179" s="25"/>
      <c r="X179" s="25"/>
      <c r="Y179" s="25"/>
      <c r="Z179" s="25"/>
    </row>
    <row r="180" spans="1:26" x14ac:dyDescent="0.35">
      <c r="B180" t="s">
        <v>112</v>
      </c>
      <c r="F180" s="14">
        <f ca="1">-F178*F179</f>
        <v>-30.056249999999999</v>
      </c>
      <c r="G180" s="14">
        <f t="shared" ref="G180" ca="1" si="457">-G178*G179</f>
        <v>-30.056249999999999</v>
      </c>
      <c r="H180" s="14">
        <f t="shared" ref="H180" ca="1" si="458">-H178*H179</f>
        <v>-30.056249999999999</v>
      </c>
      <c r="I180" s="14">
        <f t="shared" ref="I180" ca="1" si="459">-I178*I179</f>
        <v>-30.056249999999999</v>
      </c>
      <c r="J180" s="14">
        <f t="shared" ref="J180" ca="1" si="460">-J178*J179</f>
        <v>-30.056249999999999</v>
      </c>
      <c r="K180" s="14">
        <f t="shared" ref="K180" ca="1" si="461">-K178*K179</f>
        <v>-30.056249999999999</v>
      </c>
      <c r="L180" s="14">
        <f t="shared" ref="L180" ca="1" si="462">-L178*L179</f>
        <v>-30.056249999999999</v>
      </c>
      <c r="M180" s="14">
        <f t="shared" ref="M180" ca="1" si="463">-M178*M179</f>
        <v>-30.056249999999999</v>
      </c>
      <c r="N180" s="14">
        <f t="shared" ref="N180" ca="1" si="464">-N178*N179</f>
        <v>-30.056249999999999</v>
      </c>
      <c r="O180" s="14">
        <f t="shared" ref="O180" ca="1" si="465">-O178*O179</f>
        <v>-30.056249999999999</v>
      </c>
      <c r="P180" s="14">
        <f t="shared" ref="P180" ca="1" si="466">-P178*P179</f>
        <v>-30.056249999999999</v>
      </c>
      <c r="Q180" s="14">
        <f t="shared" ref="Q180" ca="1" si="467">-Q178*Q179</f>
        <v>-30.056249999999999</v>
      </c>
      <c r="R180" s="14">
        <f t="shared" ref="R180" ca="1" si="468">-R178*R179</f>
        <v>-30.056249999999999</v>
      </c>
      <c r="S180" s="14">
        <f t="shared" ref="S180" ca="1" si="469">-S178*S179</f>
        <v>-30.056249999999999</v>
      </c>
      <c r="T180" s="14">
        <f t="shared" ref="T180" ca="1" si="470">-T178*T179</f>
        <v>-30.056249999999999</v>
      </c>
      <c r="U180" s="14">
        <f t="shared" ref="U180" ca="1" si="471">-U178*U179</f>
        <v>-30.056249999999999</v>
      </c>
      <c r="V180" s="14">
        <f t="shared" ref="V180" ca="1" si="472">-V178*V179</f>
        <v>-30.056249999999999</v>
      </c>
      <c r="W180" s="14"/>
      <c r="X180" s="14"/>
      <c r="Y180" s="14"/>
      <c r="Z180" s="14"/>
    </row>
    <row r="181" spans="1:26" x14ac:dyDescent="0.35">
      <c r="B181" t="s">
        <v>86</v>
      </c>
      <c r="F181" s="14">
        <f ca="1">F180-F182</f>
        <v>-30.056249999999999</v>
      </c>
      <c r="G181" s="14">
        <f t="shared" ref="G181" ca="1" si="473">G180-G182</f>
        <v>-30.056249999999999</v>
      </c>
      <c r="H181" s="14">
        <f t="shared" ref="H181" ca="1" si="474">H180-H182</f>
        <v>-30.056249999999999</v>
      </c>
      <c r="I181" s="14">
        <f t="shared" ref="I181" ca="1" si="475">I180-I182</f>
        <v>-30.056249999999999</v>
      </c>
      <c r="J181" s="14">
        <f t="shared" ref="J181" ca="1" si="476">J180-J182</f>
        <v>-30.056249999999999</v>
      </c>
      <c r="K181" s="14">
        <f t="shared" ref="K181" ca="1" si="477">K180-K182</f>
        <v>-30.056249999999999</v>
      </c>
      <c r="L181" s="14">
        <f t="shared" ref="L181" ca="1" si="478">L180-L182</f>
        <v>-30.056249999999999</v>
      </c>
      <c r="M181" s="14">
        <f t="shared" ref="M181" ca="1" si="479">M180-M182</f>
        <v>-30.056249999999999</v>
      </c>
      <c r="N181" s="14">
        <f t="shared" ref="N181" ca="1" si="480">N180-N182</f>
        <v>-30.056249999999999</v>
      </c>
      <c r="O181" s="14">
        <f t="shared" ref="O181" ca="1" si="481">O180-O182</f>
        <v>-30.056249999999999</v>
      </c>
      <c r="P181" s="14">
        <f t="shared" ref="P181" ca="1" si="482">P180-P182</f>
        <v>-30.056249999999999</v>
      </c>
      <c r="Q181" s="14">
        <f t="shared" ref="Q181" ca="1" si="483">Q180-Q182</f>
        <v>-30.056249999999999</v>
      </c>
      <c r="R181" s="14">
        <f t="shared" ref="R181" ca="1" si="484">R180-R182</f>
        <v>-30.056249999999999</v>
      </c>
      <c r="S181" s="14">
        <f t="shared" ref="S181" ca="1" si="485">S180-S182</f>
        <v>-30.056249999999999</v>
      </c>
      <c r="T181" s="14">
        <f t="shared" ref="T181" ca="1" si="486">T180-T182</f>
        <v>-30.056249999999999</v>
      </c>
      <c r="U181" s="14">
        <f t="shared" ref="U181" ca="1" si="487">U180-U182</f>
        <v>-30.056249999999999</v>
      </c>
      <c r="V181" s="14">
        <f t="shared" ref="V181" ca="1" si="488">V180-V182</f>
        <v>-30.056249999999999</v>
      </c>
      <c r="W181" s="14"/>
      <c r="X181" s="14"/>
      <c r="Y181" s="14"/>
      <c r="Z181" s="14"/>
    </row>
    <row r="182" spans="1:26" x14ac:dyDescent="0.35">
      <c r="B182" t="s">
        <v>113</v>
      </c>
      <c r="F182" s="14">
        <f t="shared" ref="F182:V182" ca="1" si="489">F180*$AE$79</f>
        <v>0</v>
      </c>
      <c r="G182" s="14">
        <f t="shared" ca="1" si="489"/>
        <v>0</v>
      </c>
      <c r="H182" s="14">
        <f t="shared" ca="1" si="489"/>
        <v>0</v>
      </c>
      <c r="I182" s="14">
        <f t="shared" ca="1" si="489"/>
        <v>0</v>
      </c>
      <c r="J182" s="14">
        <f t="shared" ca="1" si="489"/>
        <v>0</v>
      </c>
      <c r="K182" s="14">
        <f t="shared" ca="1" si="489"/>
        <v>0</v>
      </c>
      <c r="L182" s="14">
        <f t="shared" ca="1" si="489"/>
        <v>0</v>
      </c>
      <c r="M182" s="14">
        <f t="shared" ca="1" si="489"/>
        <v>0</v>
      </c>
      <c r="N182" s="14">
        <f t="shared" ca="1" si="489"/>
        <v>0</v>
      </c>
      <c r="O182" s="14">
        <f t="shared" ca="1" si="489"/>
        <v>0</v>
      </c>
      <c r="P182" s="14">
        <f t="shared" ca="1" si="489"/>
        <v>0</v>
      </c>
      <c r="Q182" s="14">
        <f t="shared" ca="1" si="489"/>
        <v>0</v>
      </c>
      <c r="R182" s="14">
        <f t="shared" ca="1" si="489"/>
        <v>0</v>
      </c>
      <c r="S182" s="14">
        <f t="shared" ca="1" si="489"/>
        <v>0</v>
      </c>
      <c r="T182" s="14">
        <f t="shared" ca="1" si="489"/>
        <v>0</v>
      </c>
      <c r="U182" s="14">
        <f t="shared" ca="1" si="489"/>
        <v>0</v>
      </c>
      <c r="V182" s="14">
        <f t="shared" ca="1" si="489"/>
        <v>0</v>
      </c>
      <c r="W182" s="14"/>
      <c r="X182" s="14"/>
      <c r="Y182" s="14"/>
      <c r="Z182" s="14"/>
    </row>
    <row r="183" spans="1:26" x14ac:dyDescent="0.35"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x14ac:dyDescent="0.35">
      <c r="A184" t="s">
        <v>0</v>
      </c>
      <c r="B184" s="4" t="s">
        <v>115</v>
      </c>
    </row>
    <row r="185" spans="1:26" x14ac:dyDescent="0.35">
      <c r="B185" s="4" t="s">
        <v>108</v>
      </c>
      <c r="F185" s="14">
        <f>E188</f>
        <v>0</v>
      </c>
      <c r="G185" s="14">
        <f t="shared" ref="G185:V185" ca="1" si="490">F188</f>
        <v>0</v>
      </c>
      <c r="H185" s="14">
        <f t="shared" ca="1" si="490"/>
        <v>0</v>
      </c>
      <c r="I185" s="14">
        <f t="shared" ca="1" si="490"/>
        <v>0</v>
      </c>
      <c r="J185" s="14">
        <f t="shared" ca="1" si="490"/>
        <v>0</v>
      </c>
      <c r="K185" s="14">
        <f t="shared" ca="1" si="490"/>
        <v>0</v>
      </c>
      <c r="L185" s="14">
        <f t="shared" ca="1" si="490"/>
        <v>0</v>
      </c>
      <c r="M185" s="14">
        <f t="shared" ca="1" si="490"/>
        <v>0</v>
      </c>
      <c r="N185" s="14">
        <f t="shared" ca="1" si="490"/>
        <v>0</v>
      </c>
      <c r="O185" s="14">
        <f t="shared" ca="1" si="490"/>
        <v>0</v>
      </c>
      <c r="P185" s="14">
        <f t="shared" ca="1" si="490"/>
        <v>0</v>
      </c>
      <c r="Q185" s="14">
        <f t="shared" ca="1" si="490"/>
        <v>0</v>
      </c>
      <c r="R185" s="14">
        <f t="shared" ca="1" si="490"/>
        <v>0</v>
      </c>
      <c r="S185" s="14">
        <f ca="1">R114+R138+R164</f>
        <v>10605.844908734392</v>
      </c>
      <c r="T185" s="14">
        <f t="shared" ca="1" si="490"/>
        <v>10605.844908734392</v>
      </c>
      <c r="U185" s="14">
        <f t="shared" ca="1" si="490"/>
        <v>10605.844908734392</v>
      </c>
      <c r="V185" s="14">
        <f t="shared" ca="1" si="490"/>
        <v>10605.844908734392</v>
      </c>
      <c r="W185" s="14"/>
      <c r="X185" s="14"/>
      <c r="Y185" s="14"/>
      <c r="Z185" s="14"/>
    </row>
    <row r="186" spans="1:26" x14ac:dyDescent="0.35">
      <c r="B186" t="s">
        <v>91</v>
      </c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x14ac:dyDescent="0.35">
      <c r="B187" t="s">
        <v>109</v>
      </c>
      <c r="F187" s="14">
        <f ca="1">-F194</f>
        <v>0</v>
      </c>
      <c r="G187" s="14">
        <f t="shared" ref="G187:V187" ca="1" si="491">-G194</f>
        <v>0</v>
      </c>
      <c r="H187" s="14">
        <f t="shared" ca="1" si="491"/>
        <v>0</v>
      </c>
      <c r="I187" s="14">
        <f t="shared" ca="1" si="491"/>
        <v>0</v>
      </c>
      <c r="J187" s="14">
        <f t="shared" ca="1" si="491"/>
        <v>0</v>
      </c>
      <c r="K187" s="14">
        <f t="shared" ca="1" si="491"/>
        <v>0</v>
      </c>
      <c r="L187" s="14">
        <f t="shared" ca="1" si="491"/>
        <v>0</v>
      </c>
      <c r="M187" s="14">
        <f t="shared" ca="1" si="491"/>
        <v>0</v>
      </c>
      <c r="N187" s="14">
        <f t="shared" ca="1" si="491"/>
        <v>0</v>
      </c>
      <c r="O187" s="14">
        <f t="shared" ca="1" si="491"/>
        <v>0</v>
      </c>
      <c r="P187" s="14">
        <f t="shared" ca="1" si="491"/>
        <v>0</v>
      </c>
      <c r="Q187" s="14">
        <f t="shared" ca="1" si="491"/>
        <v>0</v>
      </c>
      <c r="R187" s="14">
        <f t="shared" ca="1" si="491"/>
        <v>0</v>
      </c>
      <c r="S187" s="14">
        <f t="shared" ca="1" si="491"/>
        <v>0</v>
      </c>
      <c r="T187" s="14">
        <f t="shared" ca="1" si="491"/>
        <v>0</v>
      </c>
      <c r="U187" s="14">
        <f t="shared" ca="1" si="491"/>
        <v>0</v>
      </c>
      <c r="V187" s="14">
        <f t="shared" ca="1" si="491"/>
        <v>0</v>
      </c>
      <c r="W187" s="14"/>
      <c r="X187" s="14"/>
      <c r="Y187" s="14"/>
      <c r="Z187" s="14"/>
    </row>
    <row r="188" spans="1:26" x14ac:dyDescent="0.35">
      <c r="B188" s="8" t="s">
        <v>110</v>
      </c>
      <c r="C188" s="8"/>
      <c r="D188" s="8"/>
      <c r="E188" s="47"/>
      <c r="F188" s="15">
        <f ca="1">SUM(F185:F187)</f>
        <v>0</v>
      </c>
      <c r="G188" s="15">
        <f t="shared" ref="G188" ca="1" si="492">SUM(G185:G187)</f>
        <v>0</v>
      </c>
      <c r="H188" s="15">
        <f t="shared" ref="H188" ca="1" si="493">SUM(H185:H187)</f>
        <v>0</v>
      </c>
      <c r="I188" s="15">
        <f t="shared" ref="I188" ca="1" si="494">SUM(I185:I187)</f>
        <v>0</v>
      </c>
      <c r="J188" s="15">
        <f t="shared" ref="J188" ca="1" si="495">SUM(J185:J187)</f>
        <v>0</v>
      </c>
      <c r="K188" s="15">
        <f t="shared" ref="K188" ca="1" si="496">SUM(K185:K187)</f>
        <v>0</v>
      </c>
      <c r="L188" s="15">
        <f t="shared" ref="L188" ca="1" si="497">SUM(L185:L187)</f>
        <v>0</v>
      </c>
      <c r="M188" s="15">
        <f t="shared" ref="M188" ca="1" si="498">SUM(M185:M187)</f>
        <v>0</v>
      </c>
      <c r="N188" s="15">
        <f t="shared" ref="N188" ca="1" si="499">SUM(N185:N187)</f>
        <v>0</v>
      </c>
      <c r="O188" s="15">
        <f t="shared" ref="O188" ca="1" si="500">SUM(O185:O187)</f>
        <v>0</v>
      </c>
      <c r="P188" s="15">
        <f t="shared" ref="P188" ca="1" si="501">SUM(P185:P187)</f>
        <v>0</v>
      </c>
      <c r="Q188" s="15">
        <f t="shared" ref="Q188" ca="1" si="502">SUM(Q185:Q187)</f>
        <v>0</v>
      </c>
      <c r="R188" s="15">
        <f t="shared" ref="R188" ca="1" si="503">SUM(R185:R187)</f>
        <v>0</v>
      </c>
      <c r="S188" s="15">
        <f t="shared" ref="S188" ca="1" si="504">SUM(S185:S187)</f>
        <v>10605.844908734392</v>
      </c>
      <c r="T188" s="15">
        <f t="shared" ref="T188" ca="1" si="505">SUM(T185:T187)</f>
        <v>10605.844908734392</v>
      </c>
      <c r="U188" s="15">
        <f t="shared" ref="U188" ca="1" si="506">SUM(U185:U187)</f>
        <v>10605.844908734392</v>
      </c>
      <c r="V188" s="15">
        <f t="shared" ref="V188" ca="1" si="507">SUM(V185:V187)</f>
        <v>10605.844908734392</v>
      </c>
      <c r="W188" s="49"/>
      <c r="X188" s="49"/>
      <c r="Y188" s="49"/>
      <c r="Z188" s="49"/>
    </row>
    <row r="189" spans="1:26" x14ac:dyDescent="0.35"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x14ac:dyDescent="0.35">
      <c r="B190" t="s">
        <v>111</v>
      </c>
      <c r="F190" s="14">
        <f ca="1">AVERAGE(F188,F185)</f>
        <v>0</v>
      </c>
      <c r="G190" s="14">
        <f t="shared" ref="G190:Q190" ca="1" si="508">AVERAGE(G188,G185)</f>
        <v>0</v>
      </c>
      <c r="H190" s="14">
        <f t="shared" ca="1" si="508"/>
        <v>0</v>
      </c>
      <c r="I190" s="14">
        <f t="shared" ca="1" si="508"/>
        <v>0</v>
      </c>
      <c r="J190" s="14">
        <f t="shared" ca="1" si="508"/>
        <v>0</v>
      </c>
      <c r="K190" s="14">
        <f t="shared" ca="1" si="508"/>
        <v>0</v>
      </c>
      <c r="L190" s="14">
        <f t="shared" ca="1" si="508"/>
        <v>0</v>
      </c>
      <c r="M190" s="14">
        <f t="shared" ca="1" si="508"/>
        <v>0</v>
      </c>
      <c r="N190" s="14">
        <f t="shared" ca="1" si="508"/>
        <v>0</v>
      </c>
      <c r="O190" s="14">
        <f t="shared" ca="1" si="508"/>
        <v>0</v>
      </c>
      <c r="P190" s="14">
        <f t="shared" ca="1" si="508"/>
        <v>0</v>
      </c>
      <c r="Q190" s="14">
        <f t="shared" ca="1" si="508"/>
        <v>0</v>
      </c>
      <c r="R190" s="14">
        <f t="shared" ref="R190:V190" ca="1" si="509">AVERAGE(R188,R185)</f>
        <v>0</v>
      </c>
      <c r="S190" s="14">
        <f t="shared" ca="1" si="509"/>
        <v>10605.844908734392</v>
      </c>
      <c r="T190" s="14">
        <f t="shared" ca="1" si="509"/>
        <v>10605.844908734392</v>
      </c>
      <c r="U190" s="14">
        <f t="shared" ca="1" si="509"/>
        <v>10605.844908734392</v>
      </c>
      <c r="V190" s="14">
        <f t="shared" ca="1" si="509"/>
        <v>10605.844908734392</v>
      </c>
      <c r="W190" s="14"/>
      <c r="X190" s="14"/>
      <c r="Y190" s="14"/>
      <c r="Z190" s="14"/>
    </row>
    <row r="191" spans="1:26" x14ac:dyDescent="0.35">
      <c r="B191" t="s">
        <v>2</v>
      </c>
      <c r="F191" s="25">
        <f t="shared" ref="F191:Q191" ca="1" si="510">$AE$81/4</f>
        <v>3.7499999999999999E-2</v>
      </c>
      <c r="G191" s="25">
        <f t="shared" ca="1" si="510"/>
        <v>3.7499999999999999E-2</v>
      </c>
      <c r="H191" s="25">
        <f t="shared" ca="1" si="510"/>
        <v>3.7499999999999999E-2</v>
      </c>
      <c r="I191" s="25">
        <f t="shared" ca="1" si="510"/>
        <v>3.7499999999999999E-2</v>
      </c>
      <c r="J191" s="25">
        <f t="shared" ca="1" si="510"/>
        <v>3.7499999999999999E-2</v>
      </c>
      <c r="K191" s="25">
        <f t="shared" ca="1" si="510"/>
        <v>3.7499999999999999E-2</v>
      </c>
      <c r="L191" s="25">
        <f t="shared" ca="1" si="510"/>
        <v>3.7499999999999999E-2</v>
      </c>
      <c r="M191" s="25">
        <f t="shared" ca="1" si="510"/>
        <v>3.7499999999999999E-2</v>
      </c>
      <c r="N191" s="25">
        <f t="shared" ca="1" si="510"/>
        <v>3.7499999999999999E-2</v>
      </c>
      <c r="O191" s="25">
        <f t="shared" ca="1" si="510"/>
        <v>3.7499999999999999E-2</v>
      </c>
      <c r="P191" s="25">
        <f t="shared" ca="1" si="510"/>
        <v>3.7499999999999999E-2</v>
      </c>
      <c r="Q191" s="25">
        <f t="shared" ca="1" si="510"/>
        <v>3.7499999999999999E-2</v>
      </c>
      <c r="R191" s="25">
        <f t="shared" ref="R191:V191" ca="1" si="511">$AE$81/4</f>
        <v>3.7499999999999999E-2</v>
      </c>
      <c r="S191" s="25">
        <f t="shared" ca="1" si="511"/>
        <v>3.7499999999999999E-2</v>
      </c>
      <c r="T191" s="25">
        <f t="shared" ca="1" si="511"/>
        <v>3.7499999999999999E-2</v>
      </c>
      <c r="U191" s="25">
        <f t="shared" ca="1" si="511"/>
        <v>3.7499999999999999E-2</v>
      </c>
      <c r="V191" s="25">
        <f t="shared" ca="1" si="511"/>
        <v>3.7499999999999999E-2</v>
      </c>
      <c r="W191" s="25"/>
      <c r="X191" s="25"/>
      <c r="Y191" s="25"/>
      <c r="Z191" s="25"/>
    </row>
    <row r="192" spans="1:26" x14ac:dyDescent="0.35">
      <c r="B192" t="s">
        <v>112</v>
      </c>
      <c r="F192" s="14">
        <f ca="1">-F190*F191</f>
        <v>0</v>
      </c>
      <c r="G192" s="14">
        <f t="shared" ref="G192" ca="1" si="512">-G190*G191</f>
        <v>0</v>
      </c>
      <c r="H192" s="14">
        <f t="shared" ref="H192" ca="1" si="513">-H190*H191</f>
        <v>0</v>
      </c>
      <c r="I192" s="14">
        <f t="shared" ref="I192" ca="1" si="514">-I190*I191</f>
        <v>0</v>
      </c>
      <c r="J192" s="14">
        <f t="shared" ref="J192" ca="1" si="515">-J190*J191</f>
        <v>0</v>
      </c>
      <c r="K192" s="14">
        <f t="shared" ref="K192" ca="1" si="516">-K190*K191</f>
        <v>0</v>
      </c>
      <c r="L192" s="14">
        <f t="shared" ref="L192" ca="1" si="517">-L190*L191</f>
        <v>0</v>
      </c>
      <c r="M192" s="14">
        <f t="shared" ref="M192" ca="1" si="518">-M190*M191</f>
        <v>0</v>
      </c>
      <c r="N192" s="14">
        <f t="shared" ref="N192" ca="1" si="519">-N190*N191</f>
        <v>0</v>
      </c>
      <c r="O192" s="14">
        <f t="shared" ref="O192" ca="1" si="520">-O190*O191</f>
        <v>0</v>
      </c>
      <c r="P192" s="14">
        <f t="shared" ref="P192" ca="1" si="521">-P190*P191</f>
        <v>0</v>
      </c>
      <c r="Q192" s="14">
        <f t="shared" ref="Q192" ca="1" si="522">-Q190*Q191</f>
        <v>0</v>
      </c>
      <c r="R192" s="14">
        <f t="shared" ref="R192" ca="1" si="523">-R190*R191</f>
        <v>0</v>
      </c>
      <c r="S192" s="14">
        <f t="shared" ref="S192" ca="1" si="524">-S190*S191</f>
        <v>-397.71918407753969</v>
      </c>
      <c r="T192" s="14">
        <f t="shared" ref="T192" ca="1" si="525">-T190*T191</f>
        <v>-397.71918407753969</v>
      </c>
      <c r="U192" s="14">
        <f t="shared" ref="U192" ca="1" si="526">-U190*U191</f>
        <v>-397.71918407753969</v>
      </c>
      <c r="V192" s="14">
        <f t="shared" ref="V192" ca="1" si="527">-V190*V191</f>
        <v>-397.71918407753969</v>
      </c>
      <c r="W192" s="14"/>
      <c r="X192" s="14"/>
      <c r="Y192" s="14"/>
      <c r="Z192" s="14"/>
    </row>
    <row r="193" spans="1:26" x14ac:dyDescent="0.35">
      <c r="B193" t="s">
        <v>86</v>
      </c>
      <c r="F193" s="14">
        <f ca="1">F192-F194</f>
        <v>0</v>
      </c>
      <c r="G193" s="14">
        <f t="shared" ref="G193" ca="1" si="528">G192-G194</f>
        <v>0</v>
      </c>
      <c r="H193" s="14">
        <f t="shared" ref="H193" ca="1" si="529">H192-H194</f>
        <v>0</v>
      </c>
      <c r="I193" s="14">
        <f t="shared" ref="I193" ca="1" si="530">I192-I194</f>
        <v>0</v>
      </c>
      <c r="J193" s="14">
        <f t="shared" ref="J193" ca="1" si="531">J192-J194</f>
        <v>0</v>
      </c>
      <c r="K193" s="14">
        <f t="shared" ref="K193" ca="1" si="532">K192-K194</f>
        <v>0</v>
      </c>
      <c r="L193" s="14">
        <f t="shared" ref="L193" ca="1" si="533">L192-L194</f>
        <v>0</v>
      </c>
      <c r="M193" s="14">
        <f t="shared" ref="M193" ca="1" si="534">M192-M194</f>
        <v>0</v>
      </c>
      <c r="N193" s="14">
        <f t="shared" ref="N193" ca="1" si="535">N192-N194</f>
        <v>0</v>
      </c>
      <c r="O193" s="14">
        <f t="shared" ref="O193" ca="1" si="536">O192-O194</f>
        <v>0</v>
      </c>
      <c r="P193" s="14">
        <f t="shared" ref="P193" ca="1" si="537">P192-P194</f>
        <v>0</v>
      </c>
      <c r="Q193" s="14">
        <f t="shared" ref="Q193" ca="1" si="538">Q192-Q194</f>
        <v>0</v>
      </c>
      <c r="R193" s="14">
        <f t="shared" ref="R193" ca="1" si="539">R192-R194</f>
        <v>0</v>
      </c>
      <c r="S193" s="14">
        <f t="shared" ref="S193" ca="1" si="540">S192-S194</f>
        <v>-397.71918407753969</v>
      </c>
      <c r="T193" s="14">
        <f t="shared" ref="T193" ca="1" si="541">T192-T194</f>
        <v>-397.71918407753969</v>
      </c>
      <c r="U193" s="14">
        <f t="shared" ref="U193" ca="1" si="542">U192-U194</f>
        <v>-397.71918407753969</v>
      </c>
      <c r="V193" s="14">
        <f t="shared" ref="V193" ca="1" si="543">V192-V194</f>
        <v>-397.71918407753969</v>
      </c>
      <c r="W193" s="14"/>
      <c r="X193" s="14"/>
      <c r="Y193" s="14"/>
      <c r="Z193" s="14"/>
    </row>
    <row r="194" spans="1:26" x14ac:dyDescent="0.35">
      <c r="B194" t="s">
        <v>113</v>
      </c>
      <c r="F194" s="14">
        <f t="shared" ref="F194:Q194" ca="1" si="544">F192*$AE$82</f>
        <v>0</v>
      </c>
      <c r="G194" s="14">
        <f t="shared" ca="1" si="544"/>
        <v>0</v>
      </c>
      <c r="H194" s="14">
        <f t="shared" ca="1" si="544"/>
        <v>0</v>
      </c>
      <c r="I194" s="14">
        <f t="shared" ca="1" si="544"/>
        <v>0</v>
      </c>
      <c r="J194" s="14">
        <f t="shared" ca="1" si="544"/>
        <v>0</v>
      </c>
      <c r="K194" s="14">
        <f t="shared" ca="1" si="544"/>
        <v>0</v>
      </c>
      <c r="L194" s="14">
        <f t="shared" ca="1" si="544"/>
        <v>0</v>
      </c>
      <c r="M194" s="14">
        <f t="shared" ca="1" si="544"/>
        <v>0</v>
      </c>
      <c r="N194" s="14">
        <f t="shared" ca="1" si="544"/>
        <v>0</v>
      </c>
      <c r="O194" s="14">
        <f t="shared" ca="1" si="544"/>
        <v>0</v>
      </c>
      <c r="P194" s="14">
        <f t="shared" ca="1" si="544"/>
        <v>0</v>
      </c>
      <c r="Q194" s="14">
        <f t="shared" ca="1" si="544"/>
        <v>0</v>
      </c>
      <c r="R194" s="14">
        <f t="shared" ref="R194:V194" ca="1" si="545">R192*$AE$82</f>
        <v>0</v>
      </c>
      <c r="S194" s="14">
        <f t="shared" ca="1" si="545"/>
        <v>0</v>
      </c>
      <c r="T194" s="14">
        <f t="shared" ca="1" si="545"/>
        <v>0</v>
      </c>
      <c r="U194" s="14">
        <f t="shared" ca="1" si="545"/>
        <v>0</v>
      </c>
      <c r="V194" s="14">
        <f t="shared" ca="1" si="545"/>
        <v>0</v>
      </c>
      <c r="W194" s="14"/>
      <c r="X194" s="14"/>
      <c r="Y194" s="14"/>
      <c r="Z194" s="14"/>
    </row>
    <row r="195" spans="1:26" x14ac:dyDescent="0.35"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x14ac:dyDescent="0.35"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x14ac:dyDescent="0.35">
      <c r="F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x14ac:dyDescent="0.35">
      <c r="A198" t="s">
        <v>0</v>
      </c>
      <c r="B198" s="1" t="s">
        <v>23</v>
      </c>
      <c r="C198" s="1"/>
      <c r="D198" s="1"/>
      <c r="E198" s="1"/>
      <c r="F198" s="1"/>
      <c r="G198" s="1"/>
      <c r="H198" s="1"/>
      <c r="I198" s="1"/>
      <c r="J198" s="1"/>
      <c r="K198" s="24"/>
      <c r="L198" t="s">
        <v>87</v>
      </c>
      <c r="M198" s="24">
        <f>F64</f>
        <v>8200</v>
      </c>
    </row>
    <row r="199" spans="1:26" ht="16" x14ac:dyDescent="0.5">
      <c r="B199" s="3" t="s">
        <v>1</v>
      </c>
      <c r="C199" s="3" t="s">
        <v>96</v>
      </c>
      <c r="D199" s="3" t="s">
        <v>2</v>
      </c>
      <c r="E199" s="3" t="s">
        <v>22</v>
      </c>
      <c r="F199" s="3" t="s">
        <v>4</v>
      </c>
      <c r="G199" s="3" t="s">
        <v>6</v>
      </c>
      <c r="H199" s="3" t="s">
        <v>7</v>
      </c>
      <c r="I199" s="3" t="s">
        <v>5</v>
      </c>
      <c r="J199" s="3" t="s">
        <v>121</v>
      </c>
      <c r="L199" t="s">
        <v>78</v>
      </c>
      <c r="M199" s="24">
        <f t="shared" ref="M199:M200" ca="1" si="546">F65</f>
        <v>3200</v>
      </c>
    </row>
    <row r="200" spans="1:26" x14ac:dyDescent="0.35">
      <c r="B200" s="5" t="s">
        <v>8</v>
      </c>
      <c r="C200" s="40">
        <v>3000</v>
      </c>
      <c r="D200" s="11">
        <v>0.03</v>
      </c>
      <c r="E200" s="14">
        <f>D200*C200</f>
        <v>90</v>
      </c>
      <c r="F200" s="44" t="s">
        <v>97</v>
      </c>
      <c r="G200" s="56" t="str">
        <f ca="1">IF($C200/G$220&lt;0,"N/A",$C200/G$220)</f>
        <v>N/A</v>
      </c>
      <c r="H200" s="56" t="str">
        <f ca="1">IF($C200/H$220&lt;0,"N/A",$C200/H$220)</f>
        <v>N/A</v>
      </c>
      <c r="I200" s="56">
        <f ca="1">IF($C200/I$220&lt;0,"N/A",$C200/I$220)</f>
        <v>1.0883899440425295</v>
      </c>
      <c r="J200" s="56">
        <f ca="1">IF($C200/J$220&lt;0,"N/A",$C200/J$220)</f>
        <v>0.69106792820776941</v>
      </c>
      <c r="L200" t="s">
        <v>116</v>
      </c>
      <c r="M200" s="24">
        <f t="shared" si="546"/>
        <v>2000</v>
      </c>
    </row>
    <row r="201" spans="1:26" x14ac:dyDescent="0.35">
      <c r="B201" s="4" t="s">
        <v>9</v>
      </c>
      <c r="C201" s="41"/>
      <c r="E201" s="14"/>
      <c r="L201" t="s">
        <v>132</v>
      </c>
      <c r="M201" s="24">
        <f ca="1">SUM(M198:M200)</f>
        <v>13400</v>
      </c>
    </row>
    <row r="202" spans="1:26" x14ac:dyDescent="0.35">
      <c r="B202" s="5" t="s">
        <v>13</v>
      </c>
      <c r="C202" s="40">
        <v>900</v>
      </c>
      <c r="D202" s="12">
        <v>9.8750000000000004E-2</v>
      </c>
      <c r="E202" s="14">
        <f t="shared" ref="E202:E212" si="547">D202*C202</f>
        <v>88.875</v>
      </c>
      <c r="F202">
        <v>2027</v>
      </c>
      <c r="G202" s="56" t="str">
        <f t="shared" ref="G202:J206" ca="1" si="548">IF($C202/G$220&lt;0,"N/A",$C202/G$220)</f>
        <v>N/A</v>
      </c>
      <c r="H202" s="56" t="str">
        <f t="shared" ca="1" si="548"/>
        <v>N/A</v>
      </c>
      <c r="I202" s="56">
        <f t="shared" ca="1" si="548"/>
        <v>0.32651698321275885</v>
      </c>
      <c r="J202" s="56">
        <f t="shared" ca="1" si="548"/>
        <v>0.20732037846233084</v>
      </c>
    </row>
    <row r="203" spans="1:26" x14ac:dyDescent="0.35">
      <c r="B203" s="5" t="s">
        <v>13</v>
      </c>
      <c r="C203" s="40">
        <f>775+650</f>
        <v>1425</v>
      </c>
      <c r="D203" s="12">
        <v>0.10299999999999999</v>
      </c>
      <c r="E203" s="14">
        <f t="shared" si="547"/>
        <v>146.77500000000001</v>
      </c>
      <c r="F203">
        <v>2026</v>
      </c>
      <c r="G203" s="56" t="str">
        <f t="shared" ca="1" si="548"/>
        <v>N/A</v>
      </c>
      <c r="H203" s="56" t="str">
        <f t="shared" ca="1" si="548"/>
        <v>N/A</v>
      </c>
      <c r="I203" s="56">
        <f t="shared" ca="1" si="548"/>
        <v>0.51698522342020148</v>
      </c>
      <c r="J203" s="56">
        <f t="shared" ca="1" si="548"/>
        <v>0.32825726589869048</v>
      </c>
    </row>
    <row r="204" spans="1:26" x14ac:dyDescent="0.35">
      <c r="B204" s="5" t="s">
        <v>10</v>
      </c>
      <c r="C204" s="40">
        <f>4000</f>
        <v>4000</v>
      </c>
      <c r="D204" s="12">
        <v>0.115</v>
      </c>
      <c r="E204" s="14">
        <f t="shared" si="547"/>
        <v>460</v>
      </c>
      <c r="F204">
        <v>2023</v>
      </c>
      <c r="G204" s="56" t="str">
        <f t="shared" ca="1" si="548"/>
        <v>N/A</v>
      </c>
      <c r="H204" s="56" t="str">
        <f t="shared" ca="1" si="548"/>
        <v>N/A</v>
      </c>
      <c r="I204" s="56">
        <f t="shared" ca="1" si="548"/>
        <v>1.451186592056706</v>
      </c>
      <c r="J204" s="56">
        <f t="shared" ca="1" si="548"/>
        <v>0.92142390427702592</v>
      </c>
    </row>
    <row r="205" spans="1:26" x14ac:dyDescent="0.35">
      <c r="B205" s="5" t="s">
        <v>11</v>
      </c>
      <c r="C205" s="40">
        <f>2800</f>
        <v>2800</v>
      </c>
      <c r="D205" s="11">
        <v>0.12</v>
      </c>
      <c r="E205" s="14">
        <f t="shared" si="547"/>
        <v>336</v>
      </c>
      <c r="F205">
        <v>2025</v>
      </c>
      <c r="G205" s="56" t="str">
        <f t="shared" ca="1" si="548"/>
        <v>N/A</v>
      </c>
      <c r="H205" s="56" t="str">
        <f t="shared" ca="1" si="548"/>
        <v>N/A</v>
      </c>
      <c r="I205" s="56">
        <f t="shared" ca="1" si="548"/>
        <v>1.0158306144396942</v>
      </c>
      <c r="J205" s="56">
        <f t="shared" ca="1" si="548"/>
        <v>0.64499673299391813</v>
      </c>
    </row>
    <row r="206" spans="1:26" x14ac:dyDescent="0.35">
      <c r="B206" s="5" t="s">
        <v>12</v>
      </c>
      <c r="C206" s="40">
        <f>2000</f>
        <v>2000</v>
      </c>
      <c r="D206" s="12">
        <v>5.7500000000000002E-2</v>
      </c>
      <c r="E206" s="14">
        <f t="shared" si="547"/>
        <v>115</v>
      </c>
      <c r="F206">
        <v>2023</v>
      </c>
      <c r="G206" s="56" t="str">
        <f t="shared" ca="1" si="548"/>
        <v>N/A</v>
      </c>
      <c r="H206" s="56" t="str">
        <f t="shared" ca="1" si="548"/>
        <v>N/A</v>
      </c>
      <c r="I206" s="56">
        <f t="shared" ca="1" si="548"/>
        <v>0.72559329602835299</v>
      </c>
      <c r="J206" s="56">
        <f t="shared" ca="1" si="548"/>
        <v>0.46071195213851296</v>
      </c>
      <c r="K206" s="53"/>
    </row>
    <row r="207" spans="1:26" x14ac:dyDescent="0.35">
      <c r="B207" s="7" t="s">
        <v>19</v>
      </c>
      <c r="C207" s="42">
        <f>SUM(C202:C206)</f>
        <v>11125</v>
      </c>
      <c r="D207" s="8"/>
      <c r="E207" s="42">
        <f>SUM(E202:E206)</f>
        <v>1146.6500000000001</v>
      </c>
      <c r="F207" s="8"/>
      <c r="G207" s="8"/>
      <c r="H207" s="8"/>
      <c r="I207" s="54"/>
      <c r="J207" s="54"/>
      <c r="K207" s="53"/>
    </row>
    <row r="208" spans="1:26" x14ac:dyDescent="0.35">
      <c r="C208" s="14"/>
      <c r="E208" s="14"/>
      <c r="I208" s="53"/>
      <c r="J208" s="53"/>
      <c r="K208" s="53"/>
    </row>
    <row r="209" spans="2:29" x14ac:dyDescent="0.35">
      <c r="B209" s="9" t="s">
        <v>14</v>
      </c>
      <c r="C209" s="43"/>
      <c r="E209" s="14"/>
      <c r="I209" s="53"/>
      <c r="J209" s="53"/>
      <c r="K209" s="53"/>
    </row>
    <row r="210" spans="2:29" x14ac:dyDescent="0.35">
      <c r="B210" s="5" t="s">
        <v>15</v>
      </c>
      <c r="C210" s="40">
        <f>1819+189+240+1297</f>
        <v>3545</v>
      </c>
      <c r="D210" s="12">
        <v>2.5000000000000001E-2</v>
      </c>
      <c r="E210" s="14">
        <f t="shared" si="547"/>
        <v>88.625</v>
      </c>
      <c r="F210">
        <v>2025</v>
      </c>
      <c r="G210" s="56" t="str">
        <f t="shared" ref="G210:J212" ca="1" si="549">IF($C210/G$220&lt;0,"N/A",$C210/G$220)</f>
        <v>N/A</v>
      </c>
      <c r="H210" s="56" t="str">
        <f t="shared" ca="1" si="549"/>
        <v>N/A</v>
      </c>
      <c r="I210" s="56">
        <f t="shared" ca="1" si="549"/>
        <v>1.2861141172102557</v>
      </c>
      <c r="J210" s="56">
        <f t="shared" ca="1" si="549"/>
        <v>0.81661193516551422</v>
      </c>
      <c r="K210" s="53"/>
    </row>
    <row r="211" spans="2:29" x14ac:dyDescent="0.35">
      <c r="B211" s="5" t="s">
        <v>16</v>
      </c>
      <c r="C211" s="40">
        <f>257+495+1193+848</f>
        <v>2793</v>
      </c>
      <c r="D211" s="12">
        <v>2.5000000000000001E-2</v>
      </c>
      <c r="E211" s="14">
        <f t="shared" si="547"/>
        <v>69.825000000000003</v>
      </c>
      <c r="F211">
        <v>2023</v>
      </c>
      <c r="G211" s="56" t="str">
        <f t="shared" ca="1" si="549"/>
        <v>N/A</v>
      </c>
      <c r="H211" s="56" t="str">
        <f t="shared" ca="1" si="549"/>
        <v>N/A</v>
      </c>
      <c r="I211" s="56">
        <f t="shared" ca="1" si="549"/>
        <v>1.0132910379035949</v>
      </c>
      <c r="J211" s="56">
        <f t="shared" ca="1" si="549"/>
        <v>0.64338424116143333</v>
      </c>
      <c r="K211" s="53"/>
    </row>
    <row r="212" spans="2:29" x14ac:dyDescent="0.35">
      <c r="B212" s="5" t="s">
        <v>17</v>
      </c>
      <c r="C212" s="40">
        <f>1217+1989</f>
        <v>3206</v>
      </c>
      <c r="D212" s="12">
        <v>3.7499999999999999E-2</v>
      </c>
      <c r="E212" s="14">
        <f t="shared" si="547"/>
        <v>120.22499999999999</v>
      </c>
      <c r="F212">
        <v>2028</v>
      </c>
      <c r="G212" s="56" t="str">
        <f t="shared" ca="1" si="549"/>
        <v>N/A</v>
      </c>
      <c r="H212" s="56" t="str">
        <f t="shared" ca="1" si="549"/>
        <v>N/A</v>
      </c>
      <c r="I212" s="56">
        <f t="shared" ca="1" si="549"/>
        <v>1.1631260535334498</v>
      </c>
      <c r="J212" s="56">
        <f t="shared" ca="1" si="549"/>
        <v>0.73852125927803625</v>
      </c>
      <c r="K212" s="53"/>
    </row>
    <row r="213" spans="2:29" x14ac:dyDescent="0.35">
      <c r="B213" s="8" t="s">
        <v>18</v>
      </c>
      <c r="C213" s="15">
        <f>SUM(C210:C212)</f>
        <v>9544</v>
      </c>
      <c r="D213" s="8"/>
      <c r="E213" s="15">
        <f>SUM(E210:E212)</f>
        <v>278.67499999999995</v>
      </c>
      <c r="F213" s="8"/>
      <c r="G213" s="8"/>
      <c r="H213" s="8"/>
      <c r="I213" s="54"/>
      <c r="J213" s="54"/>
      <c r="K213" s="53"/>
    </row>
    <row r="214" spans="2:29" x14ac:dyDescent="0.35">
      <c r="I214" s="53"/>
      <c r="J214" s="53"/>
      <c r="K214" s="53"/>
    </row>
    <row r="215" spans="2:29" x14ac:dyDescent="0.35">
      <c r="B215" s="58" t="s">
        <v>3</v>
      </c>
      <c r="C215" s="63">
        <f>SUM(C213,C207,C200)</f>
        <v>23669</v>
      </c>
      <c r="D215" s="58"/>
      <c r="E215" s="63">
        <f>SUM(E213,E207,E200)</f>
        <v>1515.325</v>
      </c>
      <c r="F215" s="58"/>
      <c r="G215" s="63">
        <f ca="1">J59</f>
        <v>24601.553534996448</v>
      </c>
      <c r="H215" s="63">
        <f ca="1">N59</f>
        <v>25446.065618808923</v>
      </c>
      <c r="I215" s="63">
        <f ca="1">R59</f>
        <v>26389.248197284909</v>
      </c>
      <c r="J215" s="63">
        <f ca="1">V59</f>
        <v>26734.191000491999</v>
      </c>
      <c r="K215" s="53"/>
    </row>
    <row r="216" spans="2:29" x14ac:dyDescent="0.35">
      <c r="I216" s="53"/>
      <c r="J216" s="53"/>
      <c r="K216" s="53"/>
      <c r="W216" s="1" t="s">
        <v>133</v>
      </c>
      <c r="X216" s="1"/>
      <c r="Y216" s="1"/>
      <c r="Z216" s="1"/>
      <c r="AA216" s="1" t="s">
        <v>133</v>
      </c>
      <c r="AB216" s="1"/>
      <c r="AC216" s="1"/>
    </row>
    <row r="217" spans="2:29" x14ac:dyDescent="0.35">
      <c r="I217" s="53"/>
      <c r="J217" s="53"/>
      <c r="K217" s="53"/>
      <c r="W217" s="61" t="s">
        <v>139</v>
      </c>
      <c r="X217" s="62"/>
      <c r="Y217" s="62"/>
      <c r="Z217" s="60"/>
      <c r="AA217" s="61" t="s">
        <v>140</v>
      </c>
      <c r="AB217" s="62"/>
      <c r="AC217" s="62"/>
    </row>
    <row r="218" spans="2:29" x14ac:dyDescent="0.35">
      <c r="B218" s="58" t="s">
        <v>21</v>
      </c>
      <c r="C218" s="58"/>
      <c r="D218" s="58"/>
      <c r="E218" s="58"/>
      <c r="F218" s="58"/>
      <c r="G218" s="67" t="str">
        <f ca="1">IF(G220&lt;0,"N/A",G220*$AE$83-J59)</f>
        <v>N/A</v>
      </c>
      <c r="H218" s="67" t="str">
        <f ca="1">IF(H220&lt;0,"N/A",H220*$AE$83-N59)</f>
        <v>N/A</v>
      </c>
      <c r="I218" s="68">
        <f ca="1">IF(I220&lt;0,"N/A",I220*$AE$83-R59)</f>
        <v>1174.4022794671364</v>
      </c>
      <c r="J218" s="68">
        <f ca="1">IF(J220&lt;0,"N/A",J220*$AE$83-V59)</f>
        <v>16676.881595226128</v>
      </c>
      <c r="K218" s="53"/>
    </row>
    <row r="219" spans="2:29" x14ac:dyDescent="0.35">
      <c r="W219" s="58" t="s">
        <v>132</v>
      </c>
      <c r="X219" s="58"/>
      <c r="Y219" s="63">
        <f>M198</f>
        <v>8200</v>
      </c>
      <c r="AA219" s="58" t="s">
        <v>132</v>
      </c>
      <c r="AB219" s="58"/>
      <c r="AC219" s="63">
        <f ca="1">M201</f>
        <v>13400</v>
      </c>
    </row>
    <row r="220" spans="2:29" x14ac:dyDescent="0.35">
      <c r="B220" s="58" t="s">
        <v>38</v>
      </c>
      <c r="C220" s="58"/>
      <c r="D220" s="58"/>
      <c r="E220" s="58"/>
      <c r="F220" s="58"/>
      <c r="G220" s="59">
        <f ca="1">X32</f>
        <v>-3238.2982128871386</v>
      </c>
      <c r="H220" s="59">
        <f ca="1">Y32</f>
        <v>-995.61275322936945</v>
      </c>
      <c r="I220" s="59">
        <f ca="1">Z32</f>
        <v>2756.3650476752046</v>
      </c>
      <c r="J220" s="59">
        <f ca="1">AA32</f>
        <v>4341.1072595718124</v>
      </c>
    </row>
    <row r="221" spans="2:29" x14ac:dyDescent="0.35">
      <c r="W221" t="s">
        <v>134</v>
      </c>
      <c r="Y221" s="24">
        <f ca="1">-SUM(F21:F28)</f>
        <v>660</v>
      </c>
      <c r="AA221" t="s">
        <v>134</v>
      </c>
      <c r="AC221" s="24">
        <f ca="1">Y221</f>
        <v>660</v>
      </c>
    </row>
    <row r="222" spans="2:29" x14ac:dyDescent="0.35">
      <c r="W222" t="s">
        <v>93</v>
      </c>
      <c r="Y222" s="24">
        <f ca="1">F56</f>
        <v>204.91875000000002</v>
      </c>
      <c r="AA222" t="s">
        <v>93</v>
      </c>
      <c r="AC222" s="24">
        <f ca="1">Y222</f>
        <v>204.91875000000002</v>
      </c>
    </row>
    <row r="223" spans="2:29" x14ac:dyDescent="0.35">
      <c r="W223" t="s">
        <v>44</v>
      </c>
      <c r="Y223" s="24">
        <f ca="1">-F41</f>
        <v>351.44230769230768</v>
      </c>
      <c r="AA223" t="s">
        <v>44</v>
      </c>
      <c r="AC223" s="24">
        <f ca="1">Y223</f>
        <v>351.44230769230768</v>
      </c>
    </row>
    <row r="224" spans="2:29" ht="16" x14ac:dyDescent="0.5">
      <c r="B224" t="s">
        <v>25</v>
      </c>
      <c r="C224" s="16"/>
      <c r="D224" s="16"/>
      <c r="E224" s="16"/>
      <c r="G224" s="1" t="s">
        <v>25</v>
      </c>
      <c r="H224" s="66">
        <f t="shared" ref="H224:K224" si="550">H5</f>
        <v>44347.75</v>
      </c>
      <c r="I224" s="66">
        <f t="shared" si="550"/>
        <v>44439</v>
      </c>
      <c r="J224" s="66">
        <f t="shared" si="550"/>
        <v>44530.25</v>
      </c>
      <c r="K224" s="66">
        <f t="shared" si="550"/>
        <v>44621.5</v>
      </c>
      <c r="L224" s="66">
        <f t="shared" ref="L224:P224" si="551">L5</f>
        <v>44712.75</v>
      </c>
      <c r="M224" s="66">
        <f t="shared" si="551"/>
        <v>44804</v>
      </c>
      <c r="N224" s="66">
        <f t="shared" si="551"/>
        <v>44895.25</v>
      </c>
      <c r="O224" s="66">
        <f t="shared" si="551"/>
        <v>44986.5</v>
      </c>
      <c r="P224" s="66">
        <f t="shared" si="551"/>
        <v>45077.75</v>
      </c>
      <c r="W224" s="57" t="s">
        <v>135</v>
      </c>
      <c r="X224" s="57"/>
      <c r="Y224" s="64">
        <f ca="1">SUM(Y221:Y223)</f>
        <v>1216.3610576923077</v>
      </c>
      <c r="AA224" t="s">
        <v>37</v>
      </c>
      <c r="AC224" s="24">
        <f ca="1">-F29</f>
        <v>280</v>
      </c>
    </row>
    <row r="225" spans="2:29" x14ac:dyDescent="0.35">
      <c r="B225" t="s">
        <v>59</v>
      </c>
      <c r="G225" t="s">
        <v>59</v>
      </c>
      <c r="H225" s="24">
        <f t="shared" ref="H225:K225" ca="1" si="552">H10</f>
        <v>20</v>
      </c>
      <c r="I225" s="24">
        <f t="shared" ca="1" si="552"/>
        <v>30</v>
      </c>
      <c r="J225" s="24">
        <f t="shared" ca="1" si="552"/>
        <v>40</v>
      </c>
      <c r="K225" s="24">
        <f t="shared" ca="1" si="552"/>
        <v>50</v>
      </c>
      <c r="L225" s="24">
        <f t="shared" ref="L225:P225" ca="1" si="553">L10</f>
        <v>60</v>
      </c>
      <c r="M225" s="24">
        <f t="shared" ca="1" si="553"/>
        <v>70</v>
      </c>
      <c r="N225" s="24">
        <f t="shared" ca="1" si="553"/>
        <v>80</v>
      </c>
      <c r="O225" s="24">
        <f t="shared" ca="1" si="553"/>
        <v>90</v>
      </c>
      <c r="P225" s="24">
        <f t="shared" ca="1" si="553"/>
        <v>100</v>
      </c>
      <c r="AA225" s="57" t="s">
        <v>135</v>
      </c>
      <c r="AB225" s="57"/>
      <c r="AC225" s="64">
        <f ca="1">SUM(AC221:AC224)</f>
        <v>1496.3610576923077</v>
      </c>
    </row>
    <row r="226" spans="2:29" x14ac:dyDescent="0.35">
      <c r="G226" t="s">
        <v>137</v>
      </c>
      <c r="H226" s="11">
        <f ca="1">H12</f>
        <v>0.25</v>
      </c>
      <c r="I226" s="11">
        <f t="shared" ref="I226:P226" ca="1" si="554">I12</f>
        <v>0.3</v>
      </c>
      <c r="J226" s="11">
        <f t="shared" ca="1" si="554"/>
        <v>0.4</v>
      </c>
      <c r="K226" s="11">
        <f t="shared" ca="1" si="554"/>
        <v>0.5</v>
      </c>
      <c r="L226" s="11">
        <f t="shared" ca="1" si="554"/>
        <v>0.7</v>
      </c>
      <c r="M226" s="11">
        <f t="shared" ca="1" si="554"/>
        <v>0.8</v>
      </c>
      <c r="N226" s="11">
        <f t="shared" ca="1" si="554"/>
        <v>0.9</v>
      </c>
      <c r="O226" s="11">
        <f t="shared" ca="1" si="554"/>
        <v>1</v>
      </c>
      <c r="P226" s="11">
        <f t="shared" ca="1" si="554"/>
        <v>1</v>
      </c>
    </row>
    <row r="227" spans="2:29" x14ac:dyDescent="0.35">
      <c r="G227" t="s">
        <v>38</v>
      </c>
      <c r="H227" s="24">
        <f ca="1">H32</f>
        <v>-717.8357507692308</v>
      </c>
      <c r="I227" s="24">
        <f t="shared" ref="I227:P227" ca="1" si="555">I32</f>
        <v>-783.89797687384612</v>
      </c>
      <c r="J227" s="24">
        <f t="shared" ca="1" si="555"/>
        <v>-796.56448524406153</v>
      </c>
      <c r="K227" s="24">
        <f t="shared" ca="1" si="555"/>
        <v>-733.17548970387691</v>
      </c>
      <c r="L227" s="24">
        <f t="shared" ca="1" si="555"/>
        <v>-385.11632684887104</v>
      </c>
      <c r="M227" s="24">
        <f t="shared" ca="1" si="555"/>
        <v>-117.77455066831135</v>
      </c>
      <c r="N227" s="24">
        <f t="shared" ca="1" si="555"/>
        <v>240.45361399168996</v>
      </c>
      <c r="O227" s="24">
        <f t="shared" ca="1" si="555"/>
        <v>442.41489630094338</v>
      </c>
      <c r="P227" s="24">
        <f t="shared" ca="1" si="555"/>
        <v>628.51797221799234</v>
      </c>
      <c r="W227" s="58" t="s">
        <v>136</v>
      </c>
      <c r="X227" s="58"/>
      <c r="Y227" s="59">
        <f ca="1">Y219/Y224</f>
        <v>6.7414193739128097</v>
      </c>
      <c r="AA227" s="58" t="s">
        <v>136</v>
      </c>
      <c r="AB227" s="58"/>
      <c r="AC227" s="59">
        <f ca="1">AC219/AC225</f>
        <v>8.9550579595178181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Nathaniel Littkemann</cp:lastModifiedBy>
  <dcterms:created xsi:type="dcterms:W3CDTF">2015-06-05T18:17:20Z</dcterms:created>
  <dcterms:modified xsi:type="dcterms:W3CDTF">2024-12-29T17:45:43Z</dcterms:modified>
</cp:coreProperties>
</file>