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E7CA9975-2EDF-45BE-8AF6-083A0877112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  <sheet name="rebuild + Ref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U5" i="2"/>
  <c r="V5" i="2" s="1"/>
  <c r="W5" i="2" s="1"/>
  <c r="X5" i="2" s="1"/>
  <c r="Y5" i="2" s="1"/>
  <c r="Z5" i="2" s="1"/>
  <c r="AA5" i="2" s="1"/>
  <c r="AB5" i="2" s="1"/>
  <c r="T7" i="2"/>
  <c r="U7" i="2"/>
  <c r="V7" i="2"/>
  <c r="W7" i="2" s="1"/>
  <c r="T8" i="2"/>
  <c r="U8" i="2"/>
  <c r="V8" i="2"/>
  <c r="T10" i="2"/>
  <c r="T11" i="2"/>
  <c r="U11" i="2"/>
  <c r="V11" i="2"/>
  <c r="S12" i="2"/>
  <c r="V12" i="2" s="1"/>
  <c r="T12" i="2"/>
  <c r="U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S23" i="2"/>
  <c r="T23" i="2"/>
  <c r="U23" i="2"/>
  <c r="V23" i="2"/>
  <c r="S24" i="2"/>
  <c r="T24" i="2"/>
  <c r="U24" i="2"/>
  <c r="V24" i="2"/>
  <c r="S25" i="2"/>
  <c r="T25" i="2"/>
  <c r="U25" i="2"/>
  <c r="V25" i="2"/>
  <c r="T27" i="2"/>
  <c r="U27" i="2"/>
  <c r="V27" i="2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AI27" i="2" s="1"/>
  <c r="AJ27" i="2" s="1"/>
  <c r="AK27" i="2" s="1"/>
  <c r="AL27" i="2" s="1"/>
  <c r="AM27" i="2" s="1"/>
  <c r="AN27" i="2" s="1"/>
  <c r="AO27" i="2" s="1"/>
  <c r="AP27" i="2" s="1"/>
  <c r="AQ27" i="2" s="1"/>
  <c r="AR27" i="2" s="1"/>
  <c r="AS27" i="2" s="1"/>
  <c r="AT27" i="2" s="1"/>
  <c r="AU27" i="2" s="1"/>
  <c r="AV27" i="2" s="1"/>
  <c r="AW27" i="2" s="1"/>
  <c r="AX27" i="2" s="1"/>
  <c r="AY27" i="2" s="1"/>
  <c r="AZ27" i="2" s="1"/>
  <c r="BA27" i="2" s="1"/>
  <c r="BB27" i="2" s="1"/>
  <c r="W23" i="1"/>
  <c r="X23" i="1"/>
  <c r="Y23" i="1"/>
  <c r="Z23" i="1"/>
  <c r="W24" i="1"/>
  <c r="X24" i="1"/>
  <c r="Y24" i="1"/>
  <c r="Z24" i="1"/>
  <c r="W25" i="1"/>
  <c r="X25" i="1"/>
  <c r="Y25" i="1"/>
  <c r="Z25" i="1"/>
  <c r="V24" i="1"/>
  <c r="V25" i="1"/>
  <c r="V23" i="1"/>
  <c r="C73" i="2"/>
  <c r="E63" i="2"/>
  <c r="D55" i="2"/>
  <c r="E55" i="2" s="1"/>
  <c r="F55" i="2" s="1"/>
  <c r="G55" i="2" s="1"/>
  <c r="H55" i="2" s="1"/>
  <c r="I55" i="2" s="1"/>
  <c r="J55" i="2" s="1"/>
  <c r="K55" i="2" s="1"/>
  <c r="F20" i="2"/>
  <c r="G20" i="2" s="1"/>
  <c r="H20" i="2" s="1"/>
  <c r="I20" i="2" s="1"/>
  <c r="J20" i="2" s="1"/>
  <c r="K20" i="2" s="1"/>
  <c r="L20" i="2" s="1"/>
  <c r="M20" i="2" s="1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Q30" i="2"/>
  <c r="Q29" i="2"/>
  <c r="Q28" i="2"/>
  <c r="C27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R22" i="2"/>
  <c r="AC21" i="2"/>
  <c r="AB21" i="2"/>
  <c r="R21" i="2"/>
  <c r="AC20" i="2"/>
  <c r="AB20" i="2"/>
  <c r="Z20" i="2"/>
  <c r="Y20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X19" i="2"/>
  <c r="AZ19" i="2" s="1"/>
  <c r="W19" i="2"/>
  <c r="BB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W18" i="2"/>
  <c r="R18" i="2"/>
  <c r="BB17" i="2"/>
  <c r="BA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W17" i="2"/>
  <c r="BB16" i="2"/>
  <c r="BA16" i="2"/>
  <c r="AZ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W16" i="2"/>
  <c r="BB15" i="2"/>
  <c r="BA15" i="2"/>
  <c r="AZ15" i="2"/>
  <c r="AY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W15" i="2"/>
  <c r="R15" i="2"/>
  <c r="BB14" i="2"/>
  <c r="BA14" i="2"/>
  <c r="AZ14" i="2"/>
  <c r="AY14" i="2"/>
  <c r="AX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I14" i="2"/>
  <c r="AH14" i="2"/>
  <c r="AG14" i="2"/>
  <c r="AF14" i="2"/>
  <c r="AE14" i="2"/>
  <c r="AD14" i="2"/>
  <c r="AC14" i="2"/>
  <c r="AB14" i="2"/>
  <c r="AA14" i="2"/>
  <c r="Z14" i="2"/>
  <c r="Y14" i="2"/>
  <c r="W14" i="2"/>
  <c r="BB13" i="2"/>
  <c r="BA13" i="2"/>
  <c r="AZ13" i="2"/>
  <c r="AY13" i="2"/>
  <c r="AX13" i="2"/>
  <c r="AW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H13" i="2"/>
  <c r="AG13" i="2"/>
  <c r="AF13" i="2"/>
  <c r="AE13" i="2"/>
  <c r="AD13" i="2"/>
  <c r="AC13" i="2"/>
  <c r="AB13" i="2"/>
  <c r="AA13" i="2"/>
  <c r="Z13" i="2"/>
  <c r="R13" i="2" s="1"/>
  <c r="K44" i="2" s="1"/>
  <c r="Y13" i="2"/>
  <c r="W13" i="2"/>
  <c r="X12" i="2"/>
  <c r="AT12" i="2" s="1"/>
  <c r="BB11" i="2"/>
  <c r="BA11" i="2"/>
  <c r="AZ11" i="2"/>
  <c r="AY11" i="2"/>
  <c r="AX11" i="2"/>
  <c r="AW11" i="2"/>
  <c r="AV11" i="2"/>
  <c r="AU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F11" i="2"/>
  <c r="AE11" i="2"/>
  <c r="AD11" i="2"/>
  <c r="AC11" i="2"/>
  <c r="AB11" i="2"/>
  <c r="AA11" i="2"/>
  <c r="Z11" i="2"/>
  <c r="Y11" i="2"/>
  <c r="W11" i="2"/>
  <c r="AO10" i="2"/>
  <c r="AN10" i="2"/>
  <c r="AM10" i="2"/>
  <c r="AL10" i="2"/>
  <c r="AK10" i="2"/>
  <c r="AJ10" i="2"/>
  <c r="AI10" i="2"/>
  <c r="AH10" i="2"/>
  <c r="AG10" i="2"/>
  <c r="AE10" i="2"/>
  <c r="AD10" i="2"/>
  <c r="AC10" i="2"/>
  <c r="X10" i="2"/>
  <c r="AY10" i="2" s="1"/>
  <c r="AO9" i="2"/>
  <c r="AN9" i="2"/>
  <c r="AM9" i="2"/>
  <c r="AL9" i="2"/>
  <c r="AK9" i="2"/>
  <c r="AJ9" i="2"/>
  <c r="AI9" i="2"/>
  <c r="AH9" i="2"/>
  <c r="AG9" i="2"/>
  <c r="AF9" i="2"/>
  <c r="AD9" i="2"/>
  <c r="AC9" i="2"/>
  <c r="X9" i="2"/>
  <c r="AX9" i="2" s="1"/>
  <c r="R9" i="2"/>
  <c r="D10" i="2" s="1"/>
  <c r="AO8" i="2"/>
  <c r="AN8" i="2"/>
  <c r="AM8" i="2"/>
  <c r="AL8" i="2"/>
  <c r="AK8" i="2"/>
  <c r="AJ8" i="2"/>
  <c r="AI8" i="2"/>
  <c r="AH8" i="2"/>
  <c r="AG8" i="2"/>
  <c r="AF8" i="2"/>
  <c r="AE8" i="2"/>
  <c r="AC8" i="2"/>
  <c r="X8" i="2"/>
  <c r="AZ8" i="2" s="1"/>
  <c r="W8" i="2"/>
  <c r="BB7" i="2"/>
  <c r="BA7" i="2"/>
  <c r="AZ7" i="2"/>
  <c r="AY7" i="2"/>
  <c r="AX7" i="2"/>
  <c r="AW7" i="2"/>
  <c r="AV7" i="2"/>
  <c r="AU7" i="2"/>
  <c r="AT7" i="2"/>
  <c r="AS7" i="2"/>
  <c r="AR7" i="2"/>
  <c r="AQ7" i="2"/>
  <c r="AO7" i="2"/>
  <c r="AN7" i="2"/>
  <c r="AM7" i="2"/>
  <c r="AL7" i="2"/>
  <c r="AK7" i="2"/>
  <c r="AJ7" i="2"/>
  <c r="AI7" i="2"/>
  <c r="AH7" i="2"/>
  <c r="AG7" i="2"/>
  <c r="AF7" i="2"/>
  <c r="AE7" i="2"/>
  <c r="AD7" i="2"/>
  <c r="AB7" i="2"/>
  <c r="AA7" i="2"/>
  <c r="Z7" i="2"/>
  <c r="Y7" i="2"/>
  <c r="R6" i="2"/>
  <c r="D5" i="2"/>
  <c r="E5" i="2" s="1"/>
  <c r="F5" i="2" s="1"/>
  <c r="G5" i="2" s="1"/>
  <c r="H5" i="2" s="1"/>
  <c r="I5" i="2" s="1"/>
  <c r="J5" i="2" s="1"/>
  <c r="K5" i="2" s="1"/>
  <c r="L5" i="2" s="1"/>
  <c r="M5" i="2" s="1"/>
  <c r="D55" i="1"/>
  <c r="E55" i="1" s="1"/>
  <c r="F55" i="1" s="1"/>
  <c r="G55" i="1" s="1"/>
  <c r="H55" i="1" s="1"/>
  <c r="I55" i="1" s="1"/>
  <c r="J55" i="1" s="1"/>
  <c r="K55" i="1" s="1"/>
  <c r="AB22" i="1"/>
  <c r="AC22" i="1"/>
  <c r="AD22" i="1"/>
  <c r="AE22" i="1"/>
  <c r="AF22" i="1"/>
  <c r="AG22" i="1"/>
  <c r="AH22" i="1"/>
  <c r="AI22" i="1"/>
  <c r="AJ22" i="1"/>
  <c r="AK22" i="1"/>
  <c r="AL22" i="1"/>
  <c r="AM22" i="1"/>
  <c r="P51" i="1"/>
  <c r="P52" i="1"/>
  <c r="P53" i="1"/>
  <c r="P54" i="1"/>
  <c r="P55" i="1"/>
  <c r="P56" i="1"/>
  <c r="P57" i="1"/>
  <c r="P58" i="1"/>
  <c r="P59" i="1"/>
  <c r="P60" i="1"/>
  <c r="P61" i="1"/>
  <c r="P62" i="1"/>
  <c r="P50" i="1"/>
  <c r="AZ31" i="1"/>
  <c r="AO31" i="1"/>
  <c r="AP31" i="1"/>
  <c r="AQ31" i="1"/>
  <c r="AR31" i="1"/>
  <c r="AS31" i="1"/>
  <c r="AT31" i="1"/>
  <c r="AU31" i="1"/>
  <c r="AV31" i="1"/>
  <c r="AW31" i="1"/>
  <c r="AX31" i="1"/>
  <c r="AY31" i="1"/>
  <c r="AN31" i="1"/>
  <c r="AM31" i="1"/>
  <c r="AB31" i="1"/>
  <c r="AC31" i="1"/>
  <c r="AD31" i="1"/>
  <c r="AE31" i="1"/>
  <c r="AF31" i="1"/>
  <c r="AG31" i="1"/>
  <c r="AH31" i="1"/>
  <c r="AI31" i="1"/>
  <c r="AJ31" i="1"/>
  <c r="AK31" i="1"/>
  <c r="AL31" i="1"/>
  <c r="AA31" i="1"/>
  <c r="P35" i="1"/>
  <c r="P36" i="1"/>
  <c r="P37" i="1"/>
  <c r="P38" i="1"/>
  <c r="P39" i="1"/>
  <c r="P40" i="1"/>
  <c r="P41" i="1"/>
  <c r="P42" i="1"/>
  <c r="P43" i="1"/>
  <c r="P44" i="1"/>
  <c r="P45" i="1"/>
  <c r="P46" i="1"/>
  <c r="P34" i="1"/>
  <c r="O35" i="1"/>
  <c r="O36" i="1"/>
  <c r="O37" i="1"/>
  <c r="O38" i="1"/>
  <c r="O39" i="1"/>
  <c r="O40" i="1"/>
  <c r="O41" i="1"/>
  <c r="O42" i="1"/>
  <c r="O43" i="1"/>
  <c r="O44" i="1"/>
  <c r="O45" i="1"/>
  <c r="O46" i="1"/>
  <c r="O34" i="1"/>
  <c r="AO7" i="1"/>
  <c r="AP7" i="1"/>
  <c r="AQ7" i="1"/>
  <c r="AR7" i="1"/>
  <c r="AS7" i="1"/>
  <c r="AT7" i="1"/>
  <c r="AU7" i="1"/>
  <c r="AV7" i="1"/>
  <c r="AW7" i="1"/>
  <c r="AX7" i="1"/>
  <c r="AY7" i="1"/>
  <c r="AZ7" i="1"/>
  <c r="AP8" i="1"/>
  <c r="AQ8" i="1"/>
  <c r="AR8" i="1"/>
  <c r="AS8" i="1"/>
  <c r="AT8" i="1"/>
  <c r="AU8" i="1"/>
  <c r="AV8" i="1"/>
  <c r="AW8" i="1"/>
  <c r="AX8" i="1"/>
  <c r="AY8" i="1"/>
  <c r="AZ8" i="1"/>
  <c r="AO9" i="1"/>
  <c r="AQ9" i="1"/>
  <c r="AR9" i="1"/>
  <c r="AS9" i="1"/>
  <c r="AT9" i="1"/>
  <c r="AU9" i="1"/>
  <c r="AV9" i="1"/>
  <c r="AW9" i="1"/>
  <c r="AX9" i="1"/>
  <c r="AY9" i="1"/>
  <c r="AZ9" i="1"/>
  <c r="AO10" i="1"/>
  <c r="AP10" i="1"/>
  <c r="AR10" i="1"/>
  <c r="AS10" i="1"/>
  <c r="AT10" i="1"/>
  <c r="AU10" i="1"/>
  <c r="AV10" i="1"/>
  <c r="AW10" i="1"/>
  <c r="AX10" i="1"/>
  <c r="AY10" i="1"/>
  <c r="AZ10" i="1"/>
  <c r="AO11" i="1"/>
  <c r="AP11" i="1"/>
  <c r="AQ11" i="1"/>
  <c r="AS11" i="1"/>
  <c r="AT11" i="1"/>
  <c r="AU11" i="1"/>
  <c r="AV11" i="1"/>
  <c r="AW11" i="1"/>
  <c r="AX11" i="1"/>
  <c r="AY11" i="1"/>
  <c r="AZ11" i="1"/>
  <c r="AO12" i="1"/>
  <c r="AP12" i="1"/>
  <c r="AQ12" i="1"/>
  <c r="AR12" i="1"/>
  <c r="AT12" i="1"/>
  <c r="AU12" i="1"/>
  <c r="AV12" i="1"/>
  <c r="AW12" i="1"/>
  <c r="AX12" i="1"/>
  <c r="AY12" i="1"/>
  <c r="AZ12" i="1"/>
  <c r="AO13" i="1"/>
  <c r="AP13" i="1"/>
  <c r="AQ13" i="1"/>
  <c r="AR13" i="1"/>
  <c r="AS13" i="1"/>
  <c r="AU13" i="1"/>
  <c r="AV13" i="1"/>
  <c r="AW13" i="1"/>
  <c r="AX13" i="1"/>
  <c r="AY13" i="1"/>
  <c r="AZ13" i="1"/>
  <c r="AO14" i="1"/>
  <c r="AP14" i="1"/>
  <c r="AQ14" i="1"/>
  <c r="AR14" i="1"/>
  <c r="AS14" i="1"/>
  <c r="AT14" i="1"/>
  <c r="AV14" i="1"/>
  <c r="AW14" i="1"/>
  <c r="AX14" i="1"/>
  <c r="AY14" i="1"/>
  <c r="AZ14" i="1"/>
  <c r="AO15" i="1"/>
  <c r="AP15" i="1"/>
  <c r="AQ15" i="1"/>
  <c r="AR15" i="1"/>
  <c r="AS15" i="1"/>
  <c r="AT15" i="1"/>
  <c r="AU15" i="1"/>
  <c r="AW15" i="1"/>
  <c r="AX15" i="1"/>
  <c r="AY15" i="1"/>
  <c r="AZ15" i="1"/>
  <c r="AO16" i="1"/>
  <c r="AP16" i="1"/>
  <c r="AQ16" i="1"/>
  <c r="AR16" i="1"/>
  <c r="AS16" i="1"/>
  <c r="AT16" i="1"/>
  <c r="AU16" i="1"/>
  <c r="AV16" i="1"/>
  <c r="AX16" i="1"/>
  <c r="AY16" i="1"/>
  <c r="AZ16" i="1"/>
  <c r="AO17" i="1"/>
  <c r="AP17" i="1"/>
  <c r="AQ17" i="1"/>
  <c r="AR17" i="1"/>
  <c r="AS17" i="1"/>
  <c r="AT17" i="1"/>
  <c r="AU17" i="1"/>
  <c r="AV17" i="1"/>
  <c r="AW17" i="1"/>
  <c r="AY17" i="1"/>
  <c r="AZ17" i="1"/>
  <c r="AO18" i="1"/>
  <c r="AP18" i="1"/>
  <c r="AQ18" i="1"/>
  <c r="AR18" i="1"/>
  <c r="AS18" i="1"/>
  <c r="AT18" i="1"/>
  <c r="AU18" i="1"/>
  <c r="AV18" i="1"/>
  <c r="AW18" i="1"/>
  <c r="AX18" i="1"/>
  <c r="AZ18" i="1"/>
  <c r="AO19" i="1"/>
  <c r="AP19" i="1"/>
  <c r="AQ19" i="1"/>
  <c r="AR19" i="1"/>
  <c r="AS19" i="1"/>
  <c r="AT19" i="1"/>
  <c r="AU19" i="1"/>
  <c r="AV19" i="1"/>
  <c r="AW19" i="1"/>
  <c r="AX19" i="1"/>
  <c r="AY19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L19" i="1"/>
  <c r="AK19" i="1"/>
  <c r="AM18" i="1"/>
  <c r="AK18" i="1"/>
  <c r="AM17" i="1"/>
  <c r="AL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AM9" i="1"/>
  <c r="AL9" i="1"/>
  <c r="AK9" i="1"/>
  <c r="AM8" i="1"/>
  <c r="AL8" i="1"/>
  <c r="AK8" i="1"/>
  <c r="AM7" i="1"/>
  <c r="AL7" i="1"/>
  <c r="AK7" i="1"/>
  <c r="AJ19" i="1"/>
  <c r="AI19" i="1"/>
  <c r="AH19" i="1"/>
  <c r="AG19" i="1"/>
  <c r="AF19" i="1"/>
  <c r="AE19" i="1"/>
  <c r="AD19" i="1"/>
  <c r="AC19" i="1"/>
  <c r="AB19" i="1"/>
  <c r="AJ18" i="1"/>
  <c r="AI18" i="1"/>
  <c r="AH18" i="1"/>
  <c r="AG18" i="1"/>
  <c r="AF18" i="1"/>
  <c r="AE18" i="1"/>
  <c r="AD18" i="1"/>
  <c r="AC18" i="1"/>
  <c r="AB18" i="1"/>
  <c r="AJ17" i="1"/>
  <c r="AI17" i="1"/>
  <c r="AH17" i="1"/>
  <c r="AG17" i="1"/>
  <c r="AF17" i="1"/>
  <c r="AE17" i="1"/>
  <c r="AD17" i="1"/>
  <c r="AC17" i="1"/>
  <c r="AB17" i="1"/>
  <c r="AI16" i="1"/>
  <c r="AH16" i="1"/>
  <c r="AG16" i="1"/>
  <c r="AF16" i="1"/>
  <c r="AE16" i="1"/>
  <c r="AD16" i="1"/>
  <c r="AC16" i="1"/>
  <c r="AB16" i="1"/>
  <c r="AJ15" i="1"/>
  <c r="AH15" i="1"/>
  <c r="AG15" i="1"/>
  <c r="AF15" i="1"/>
  <c r="AE15" i="1"/>
  <c r="AD15" i="1"/>
  <c r="AC15" i="1"/>
  <c r="AB15" i="1"/>
  <c r="AJ14" i="1"/>
  <c r="AI14" i="1"/>
  <c r="AG14" i="1"/>
  <c r="AF14" i="1"/>
  <c r="AE14" i="1"/>
  <c r="AD14" i="1"/>
  <c r="AC14" i="1"/>
  <c r="AB14" i="1"/>
  <c r="AJ13" i="1"/>
  <c r="AI13" i="1"/>
  <c r="AH13" i="1"/>
  <c r="AF13" i="1"/>
  <c r="AE13" i="1"/>
  <c r="AD13" i="1"/>
  <c r="AC13" i="1"/>
  <c r="AB13" i="1"/>
  <c r="AJ12" i="1"/>
  <c r="AI12" i="1"/>
  <c r="AH12" i="1"/>
  <c r="AG12" i="1"/>
  <c r="AE12" i="1"/>
  <c r="AD12" i="1"/>
  <c r="AC12" i="1"/>
  <c r="AB12" i="1"/>
  <c r="AJ11" i="1"/>
  <c r="AI11" i="1"/>
  <c r="AH11" i="1"/>
  <c r="AG11" i="1"/>
  <c r="AF11" i="1"/>
  <c r="AD11" i="1"/>
  <c r="AC11" i="1"/>
  <c r="AB11" i="1"/>
  <c r="AJ10" i="1"/>
  <c r="AI10" i="1"/>
  <c r="AH10" i="1"/>
  <c r="AG10" i="1"/>
  <c r="AF10" i="1"/>
  <c r="AE10" i="1"/>
  <c r="AC10" i="1"/>
  <c r="AB10" i="1"/>
  <c r="AJ9" i="1"/>
  <c r="AI9" i="1"/>
  <c r="AH9" i="1"/>
  <c r="AG9" i="1"/>
  <c r="AF9" i="1"/>
  <c r="AE9" i="1"/>
  <c r="AD9" i="1"/>
  <c r="AB9" i="1"/>
  <c r="AJ8" i="1"/>
  <c r="AI8" i="1"/>
  <c r="AH8" i="1"/>
  <c r="AG8" i="1"/>
  <c r="AF8" i="1"/>
  <c r="AE8" i="1"/>
  <c r="AD8" i="1"/>
  <c r="AC8" i="1"/>
  <c r="AJ7" i="1"/>
  <c r="AI7" i="1"/>
  <c r="AH7" i="1"/>
  <c r="AG7" i="1"/>
  <c r="AF7" i="1"/>
  <c r="AE7" i="1"/>
  <c r="AD7" i="1"/>
  <c r="AC7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R23" i="1"/>
  <c r="S23" i="1"/>
  <c r="T23" i="1"/>
  <c r="R24" i="1"/>
  <c r="S24" i="1"/>
  <c r="T24" i="1"/>
  <c r="R25" i="1"/>
  <c r="S25" i="1"/>
  <c r="T25" i="1"/>
  <c r="Q24" i="1"/>
  <c r="Q25" i="1"/>
  <c r="Q23" i="1"/>
  <c r="R27" i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O29" i="1"/>
  <c r="O30" i="1"/>
  <c r="O28" i="1"/>
  <c r="Z5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7" i="1"/>
  <c r="U8" i="1"/>
  <c r="U11" i="1"/>
  <c r="U13" i="1"/>
  <c r="U14" i="1"/>
  <c r="U15" i="1"/>
  <c r="U16" i="1"/>
  <c r="U17" i="1"/>
  <c r="U18" i="1"/>
  <c r="U19" i="1"/>
  <c r="T7" i="1"/>
  <c r="U7" i="1" s="1"/>
  <c r="T8" i="1"/>
  <c r="T11" i="1"/>
  <c r="T13" i="1"/>
  <c r="T14" i="1"/>
  <c r="T15" i="1"/>
  <c r="T16" i="1"/>
  <c r="T17" i="1"/>
  <c r="T18" i="1"/>
  <c r="T19" i="1"/>
  <c r="E2" i="1"/>
  <c r="F2" i="1" s="1"/>
  <c r="G2" i="1" s="1"/>
  <c r="H2" i="1" s="1"/>
  <c r="I2" i="1" s="1"/>
  <c r="J2" i="1" s="1"/>
  <c r="K2" i="1" s="1"/>
  <c r="R20" i="1"/>
  <c r="S20" i="1"/>
  <c r="X11" i="1"/>
  <c r="Y11" i="1"/>
  <c r="X13" i="1"/>
  <c r="Y13" i="1"/>
  <c r="X14" i="1"/>
  <c r="Y14" i="1"/>
  <c r="X15" i="1"/>
  <c r="Y15" i="1"/>
  <c r="X16" i="1"/>
  <c r="Y16" i="1"/>
  <c r="X17" i="1"/>
  <c r="Y17" i="1"/>
  <c r="X18" i="1"/>
  <c r="Y18" i="1"/>
  <c r="W11" i="1"/>
  <c r="W13" i="1"/>
  <c r="W14" i="1"/>
  <c r="W15" i="1"/>
  <c r="W16" i="1"/>
  <c r="W17" i="1"/>
  <c r="W18" i="1"/>
  <c r="W20" i="1"/>
  <c r="X20" i="1"/>
  <c r="X7" i="1"/>
  <c r="Y7" i="1"/>
  <c r="W7" i="1"/>
  <c r="R8" i="1"/>
  <c r="S8" i="1"/>
  <c r="P8" i="1" s="1"/>
  <c r="E8" i="1" s="1"/>
  <c r="E61" i="1" s="1"/>
  <c r="R10" i="1"/>
  <c r="R11" i="1"/>
  <c r="S11" i="1"/>
  <c r="R13" i="1"/>
  <c r="S13" i="1"/>
  <c r="R14" i="1"/>
  <c r="S14" i="1"/>
  <c r="P14" i="1" s="1"/>
  <c r="D20" i="1" s="1"/>
  <c r="R15" i="1"/>
  <c r="S15" i="1"/>
  <c r="P15" i="1" s="1"/>
  <c r="R16" i="1"/>
  <c r="S16" i="1"/>
  <c r="R17" i="1"/>
  <c r="S17" i="1"/>
  <c r="R18" i="1"/>
  <c r="S18" i="1"/>
  <c r="R19" i="1"/>
  <c r="P19" i="1" s="1"/>
  <c r="S19" i="1"/>
  <c r="S7" i="1"/>
  <c r="P7" i="1" s="1"/>
  <c r="D7" i="1" s="1"/>
  <c r="D60" i="1" s="1"/>
  <c r="R7" i="1"/>
  <c r="R5" i="1"/>
  <c r="S5" i="1" s="1"/>
  <c r="T5" i="1" s="1"/>
  <c r="U5" i="1" s="1"/>
  <c r="V5" i="1" s="1"/>
  <c r="W5" i="1" s="1"/>
  <c r="X5" i="1" s="1"/>
  <c r="Y5" i="1" s="1"/>
  <c r="V19" i="1"/>
  <c r="X19" i="1" s="1"/>
  <c r="C27" i="1"/>
  <c r="P21" i="1"/>
  <c r="P20" i="1"/>
  <c r="E32" i="1" s="1"/>
  <c r="V12" i="1"/>
  <c r="X12" i="1" s="1"/>
  <c r="Q12" i="1"/>
  <c r="T12" i="1" s="1"/>
  <c r="V9" i="1"/>
  <c r="V10" i="1"/>
  <c r="X10" i="1" s="1"/>
  <c r="V8" i="1"/>
  <c r="Y8" i="1" s="1"/>
  <c r="P22" i="1"/>
  <c r="P13" i="1"/>
  <c r="K47" i="1" s="1"/>
  <c r="P10" i="1"/>
  <c r="E11" i="1" s="1"/>
  <c r="P9" i="1"/>
  <c r="D10" i="1" s="1"/>
  <c r="D5" i="1"/>
  <c r="E5" i="1" s="1"/>
  <c r="F5" i="1" s="1"/>
  <c r="G5" i="1" s="1"/>
  <c r="H5" i="1" s="1"/>
  <c r="I5" i="1" s="1"/>
  <c r="J5" i="1" s="1"/>
  <c r="K5" i="1" s="1"/>
  <c r="P6" i="1"/>
  <c r="R17" i="2" l="1"/>
  <c r="R20" i="2"/>
  <c r="AL12" i="2"/>
  <c r="R16" i="2"/>
  <c r="C29" i="2" s="1"/>
  <c r="L47" i="2" s="1"/>
  <c r="Y12" i="2"/>
  <c r="R11" i="2"/>
  <c r="D13" i="2" s="1"/>
  <c r="D63" i="2" s="1"/>
  <c r="E64" i="2" s="1"/>
  <c r="R14" i="2"/>
  <c r="D20" i="2" s="1"/>
  <c r="E20" i="2" s="1"/>
  <c r="AT19" i="2"/>
  <c r="AA12" i="2"/>
  <c r="Y10" i="2"/>
  <c r="Z19" i="2"/>
  <c r="M44" i="2"/>
  <c r="L44" i="2"/>
  <c r="Z12" i="2"/>
  <c r="R7" i="2"/>
  <c r="D7" i="2" s="1"/>
  <c r="D60" i="2" s="1"/>
  <c r="AV9" i="2"/>
  <c r="AB12" i="2"/>
  <c r="BA8" i="2"/>
  <c r="AZ10" i="2"/>
  <c r="AD12" i="2"/>
  <c r="AQ12" i="2"/>
  <c r="AV19" i="2"/>
  <c r="AN12" i="2"/>
  <c r="AV12" i="2"/>
  <c r="AS8" i="2"/>
  <c r="AP9" i="2"/>
  <c r="AS12" i="2"/>
  <c r="AB19" i="2"/>
  <c r="AU19" i="2"/>
  <c r="AY9" i="2"/>
  <c r="R12" i="2"/>
  <c r="D44" i="2" s="1"/>
  <c r="E44" i="2" s="1"/>
  <c r="F44" i="2" s="1"/>
  <c r="G44" i="2" s="1"/>
  <c r="H44" i="2" s="1"/>
  <c r="I44" i="2" s="1"/>
  <c r="J44" i="2" s="1"/>
  <c r="AE12" i="2"/>
  <c r="AW12" i="2"/>
  <c r="AY19" i="2"/>
  <c r="AA8" i="2"/>
  <c r="AQ10" i="2"/>
  <c r="W12" i="2"/>
  <c r="AI12" i="2"/>
  <c r="AZ12" i="2"/>
  <c r="BA19" i="2"/>
  <c r="AU10" i="2"/>
  <c r="AK12" i="2"/>
  <c r="BB12" i="2"/>
  <c r="AW10" i="2"/>
  <c r="AM12" i="2"/>
  <c r="AQ19" i="2"/>
  <c r="AS19" i="2"/>
  <c r="AB8" i="2"/>
  <c r="AT8" i="2"/>
  <c r="BB8" i="2"/>
  <c r="AQ9" i="2"/>
  <c r="AZ9" i="2"/>
  <c r="Z10" i="2"/>
  <c r="AR10" i="2"/>
  <c r="BA10" i="2"/>
  <c r="AF12" i="2"/>
  <c r="AO12" i="2"/>
  <c r="AX12" i="2"/>
  <c r="AW19" i="2"/>
  <c r="AU8" i="2"/>
  <c r="AS9" i="2"/>
  <c r="BA9" i="2"/>
  <c r="AB10" i="2"/>
  <c r="AT10" i="2"/>
  <c r="BB10" i="2"/>
  <c r="AG12" i="2"/>
  <c r="AP12" i="2"/>
  <c r="AY12" i="2"/>
  <c r="Y19" i="2"/>
  <c r="R19" i="2" s="1"/>
  <c r="AP19" i="2"/>
  <c r="AX19" i="2"/>
  <c r="AV8" i="2"/>
  <c r="AT9" i="2"/>
  <c r="BB9" i="2"/>
  <c r="AW8" i="2"/>
  <c r="AU9" i="2"/>
  <c r="AV10" i="2"/>
  <c r="AJ12" i="2"/>
  <c r="AR12" i="2"/>
  <c r="BA12" i="2"/>
  <c r="AA19" i="2"/>
  <c r="AR19" i="2"/>
  <c r="AX8" i="2"/>
  <c r="Y8" i="2"/>
  <c r="R8" i="2" s="1"/>
  <c r="M8" i="2" s="1"/>
  <c r="AP8" i="2"/>
  <c r="AY8" i="2"/>
  <c r="AW9" i="2"/>
  <c r="AX10" i="2"/>
  <c r="AC12" i="2"/>
  <c r="Z8" i="2"/>
  <c r="AR8" i="2"/>
  <c r="AP10" i="2"/>
  <c r="R50" i="1" a="1"/>
  <c r="R34" i="1" a="1"/>
  <c r="U12" i="1"/>
  <c r="P18" i="1"/>
  <c r="P17" i="1"/>
  <c r="P16" i="1"/>
  <c r="C29" i="1" s="1"/>
  <c r="C33" i="1" s="1"/>
  <c r="C69" i="1" s="1"/>
  <c r="P11" i="1"/>
  <c r="D13" i="1" s="1"/>
  <c r="W19" i="1"/>
  <c r="X8" i="1"/>
  <c r="W8" i="1"/>
  <c r="S12" i="1"/>
  <c r="W10" i="1"/>
  <c r="W12" i="1"/>
  <c r="R12" i="1"/>
  <c r="Y12" i="1"/>
  <c r="Y19" i="1"/>
  <c r="E20" i="1"/>
  <c r="F20" i="1" s="1"/>
  <c r="G20" i="1" s="1"/>
  <c r="H20" i="1" s="1"/>
  <c r="I20" i="1" s="1"/>
  <c r="J20" i="1" s="1"/>
  <c r="K20" i="1" s="1"/>
  <c r="E10" i="1"/>
  <c r="E13" i="1" s="1"/>
  <c r="E63" i="1" s="1"/>
  <c r="F11" i="1"/>
  <c r="K11" i="1"/>
  <c r="J11" i="1"/>
  <c r="I11" i="1"/>
  <c r="H11" i="1"/>
  <c r="G11" i="1"/>
  <c r="E7" i="1"/>
  <c r="E60" i="1" s="1"/>
  <c r="K8" i="1"/>
  <c r="K61" i="1" s="1"/>
  <c r="J8" i="1"/>
  <c r="J61" i="1" s="1"/>
  <c r="I8" i="1"/>
  <c r="I61" i="1" s="1"/>
  <c r="H8" i="1"/>
  <c r="H61" i="1" s="1"/>
  <c r="G8" i="1"/>
  <c r="G61" i="1" s="1"/>
  <c r="F8" i="1"/>
  <c r="F61" i="1" s="1"/>
  <c r="R10" i="2" l="1"/>
  <c r="I11" i="2" s="1"/>
  <c r="C33" i="2"/>
  <c r="C69" i="2" s="1"/>
  <c r="E47" i="2"/>
  <c r="K47" i="2"/>
  <c r="I47" i="2"/>
  <c r="D47" i="2"/>
  <c r="J47" i="2"/>
  <c r="H47" i="2"/>
  <c r="F47" i="2"/>
  <c r="G47" i="2"/>
  <c r="M47" i="2"/>
  <c r="D15" i="2"/>
  <c r="K8" i="2"/>
  <c r="K61" i="2" s="1"/>
  <c r="L8" i="2"/>
  <c r="G8" i="2"/>
  <c r="G61" i="2" s="1"/>
  <c r="I8" i="2"/>
  <c r="I61" i="2" s="1"/>
  <c r="F8" i="2"/>
  <c r="F61" i="2" s="1"/>
  <c r="J8" i="2"/>
  <c r="J61" i="2" s="1"/>
  <c r="E8" i="2"/>
  <c r="H8" i="2"/>
  <c r="H61" i="2" s="1"/>
  <c r="D15" i="1"/>
  <c r="D57" i="1" s="1"/>
  <c r="D63" i="1"/>
  <c r="E64" i="1" s="1"/>
  <c r="R50" i="1"/>
  <c r="S50" i="1" s="1"/>
  <c r="S62" i="1"/>
  <c r="S54" i="1"/>
  <c r="S61" i="1"/>
  <c r="S53" i="1"/>
  <c r="S60" i="1"/>
  <c r="S52" i="1"/>
  <c r="S59" i="1"/>
  <c r="S51" i="1"/>
  <c r="S58" i="1"/>
  <c r="S56" i="1"/>
  <c r="S55" i="1"/>
  <c r="S57" i="1"/>
  <c r="S35" i="1"/>
  <c r="S43" i="1"/>
  <c r="S36" i="1"/>
  <c r="S44" i="1"/>
  <c r="S37" i="1"/>
  <c r="S45" i="1"/>
  <c r="S38" i="1"/>
  <c r="S46" i="1"/>
  <c r="S39" i="1"/>
  <c r="S40" i="1"/>
  <c r="S41" i="1"/>
  <c r="S42" i="1"/>
  <c r="R34" i="1"/>
  <c r="S34" i="1" s="1"/>
  <c r="P12" i="1"/>
  <c r="D47" i="1" s="1"/>
  <c r="E47" i="1" s="1"/>
  <c r="F47" i="1" s="1"/>
  <c r="F50" i="1"/>
  <c r="E50" i="1"/>
  <c r="D50" i="1"/>
  <c r="G50" i="1"/>
  <c r="I50" i="1"/>
  <c r="H50" i="1"/>
  <c r="J50" i="1"/>
  <c r="K50" i="1"/>
  <c r="E15" i="1"/>
  <c r="F10" i="1"/>
  <c r="F7" i="1"/>
  <c r="F60" i="1" s="1"/>
  <c r="E11" i="2" l="1"/>
  <c r="E10" i="2" s="1"/>
  <c r="G11" i="2"/>
  <c r="F11" i="2"/>
  <c r="M11" i="2"/>
  <c r="J11" i="2"/>
  <c r="L11" i="2"/>
  <c r="K11" i="2"/>
  <c r="H11" i="2"/>
  <c r="E7" i="2"/>
  <c r="E60" i="2" s="1"/>
  <c r="E61" i="2"/>
  <c r="D48" i="2"/>
  <c r="D30" i="2" s="1"/>
  <c r="D57" i="2"/>
  <c r="D19" i="2"/>
  <c r="D51" i="1"/>
  <c r="D30" i="1" s="1"/>
  <c r="E51" i="1"/>
  <c r="E31" i="1" s="1"/>
  <c r="E57" i="1"/>
  <c r="E58" i="1" s="1"/>
  <c r="D19" i="1"/>
  <c r="D21" i="1" s="1"/>
  <c r="D22" i="1" s="1"/>
  <c r="D66" i="1" s="1"/>
  <c r="D67" i="1" s="1"/>
  <c r="E16" i="1"/>
  <c r="G47" i="1"/>
  <c r="E19" i="1"/>
  <c r="E21" i="1" s="1"/>
  <c r="E22" i="1" s="1"/>
  <c r="G7" i="1"/>
  <c r="G60" i="1" s="1"/>
  <c r="G10" i="1"/>
  <c r="F13" i="1"/>
  <c r="F10" i="2" l="1"/>
  <c r="G10" i="2" s="1"/>
  <c r="E15" i="2"/>
  <c r="E19" i="2" s="1"/>
  <c r="F7" i="2"/>
  <c r="F60" i="2" s="1"/>
  <c r="D21" i="2"/>
  <c r="D22" i="2" s="1"/>
  <c r="E27" i="1"/>
  <c r="E28" i="1" s="1"/>
  <c r="E66" i="1"/>
  <c r="E67" i="1" s="1"/>
  <c r="E30" i="1"/>
  <c r="F15" i="1"/>
  <c r="F16" i="1" s="1"/>
  <c r="F63" i="1"/>
  <c r="F64" i="1" s="1"/>
  <c r="D23" i="1"/>
  <c r="D27" i="1"/>
  <c r="D28" i="1" s="1"/>
  <c r="D33" i="1" s="1"/>
  <c r="D69" i="1" s="1"/>
  <c r="E23" i="1"/>
  <c r="E24" i="1"/>
  <c r="H47" i="1"/>
  <c r="H7" i="1"/>
  <c r="H60" i="1" s="1"/>
  <c r="H10" i="1"/>
  <c r="G13" i="1"/>
  <c r="F13" i="2" l="1"/>
  <c r="E16" i="2"/>
  <c r="G7" i="2"/>
  <c r="H7" i="2" s="1"/>
  <c r="H60" i="2" s="1"/>
  <c r="E57" i="2"/>
  <c r="E58" i="2" s="1"/>
  <c r="E48" i="2"/>
  <c r="E30" i="2" s="1"/>
  <c r="F15" i="2"/>
  <c r="F48" i="2" s="1"/>
  <c r="F63" i="2"/>
  <c r="F64" i="2" s="1"/>
  <c r="D27" i="2"/>
  <c r="D28" i="2" s="1"/>
  <c r="D33" i="2" s="1"/>
  <c r="D69" i="2" s="1"/>
  <c r="D66" i="2"/>
  <c r="D67" i="2" s="1"/>
  <c r="D23" i="2"/>
  <c r="E21" i="2"/>
  <c r="E22" i="2" s="1"/>
  <c r="E27" i="2" s="1"/>
  <c r="E28" i="2" s="1"/>
  <c r="H10" i="2"/>
  <c r="I10" i="2" s="1"/>
  <c r="G13" i="2"/>
  <c r="E33" i="1"/>
  <c r="E69" i="1" s="1"/>
  <c r="F57" i="1"/>
  <c r="F58" i="1" s="1"/>
  <c r="F19" i="1"/>
  <c r="F21" i="1" s="1"/>
  <c r="F22" i="1" s="1"/>
  <c r="F51" i="1"/>
  <c r="F30" i="1" s="1"/>
  <c r="G15" i="1"/>
  <c r="G16" i="1" s="1"/>
  <c r="G63" i="1"/>
  <c r="G64" i="1" s="1"/>
  <c r="D34" i="1"/>
  <c r="D35" i="1" s="1" a="1"/>
  <c r="D35" i="1" s="1"/>
  <c r="I47" i="1"/>
  <c r="I7" i="1"/>
  <c r="I60" i="1" s="1"/>
  <c r="I10" i="1"/>
  <c r="H13" i="1"/>
  <c r="F16" i="2" l="1"/>
  <c r="F30" i="2"/>
  <c r="E33" i="2"/>
  <c r="E69" i="2" s="1"/>
  <c r="G60" i="2"/>
  <c r="E23" i="2"/>
  <c r="E66" i="2"/>
  <c r="E67" i="2" s="1"/>
  <c r="G15" i="2"/>
  <c r="G57" i="2" s="1"/>
  <c r="G63" i="2"/>
  <c r="G64" i="2" s="1"/>
  <c r="D34" i="2"/>
  <c r="D35" i="2" s="1" a="1"/>
  <c r="D35" i="2" s="1"/>
  <c r="I7" i="2"/>
  <c r="I60" i="2" s="1"/>
  <c r="F19" i="2"/>
  <c r="F21" i="2" s="1"/>
  <c r="F22" i="2" s="1"/>
  <c r="F23" i="2" s="1"/>
  <c r="F57" i="2"/>
  <c r="F58" i="2" s="1"/>
  <c r="E24" i="2"/>
  <c r="H13" i="2"/>
  <c r="J10" i="2"/>
  <c r="I13" i="2"/>
  <c r="E34" i="1"/>
  <c r="E35" i="1" s="1" a="1"/>
  <c r="E35" i="1" s="1"/>
  <c r="F27" i="1"/>
  <c r="F28" i="1" s="1"/>
  <c r="F33" i="1" s="1"/>
  <c r="F66" i="1"/>
  <c r="F67" i="1" s="1"/>
  <c r="F24" i="1"/>
  <c r="F23" i="1"/>
  <c r="G57" i="1"/>
  <c r="G58" i="1" s="1"/>
  <c r="G51" i="1"/>
  <c r="G30" i="1" s="1"/>
  <c r="G19" i="1"/>
  <c r="G21" i="1" s="1"/>
  <c r="G22" i="1" s="1"/>
  <c r="H15" i="1"/>
  <c r="H16" i="1" s="1"/>
  <c r="H63" i="1"/>
  <c r="H64" i="1" s="1"/>
  <c r="J47" i="1"/>
  <c r="J7" i="1"/>
  <c r="J60" i="1" s="1"/>
  <c r="J10" i="1"/>
  <c r="I13" i="1"/>
  <c r="E34" i="2" l="1"/>
  <c r="E35" i="2" s="1" a="1"/>
  <c r="E35" i="2" s="1"/>
  <c r="G19" i="2"/>
  <c r="G21" i="2" s="1"/>
  <c r="G22" i="2" s="1"/>
  <c r="G48" i="2"/>
  <c r="G30" i="2" s="1"/>
  <c r="J7" i="2"/>
  <c r="J60" i="2" s="1"/>
  <c r="G58" i="2"/>
  <c r="I15" i="2"/>
  <c r="I57" i="2" s="1"/>
  <c r="I63" i="2"/>
  <c r="F27" i="2"/>
  <c r="F28" i="2" s="1"/>
  <c r="F66" i="2"/>
  <c r="F67" i="2" s="1"/>
  <c r="H15" i="2"/>
  <c r="H63" i="2"/>
  <c r="H64" i="2" s="1"/>
  <c r="F24" i="2"/>
  <c r="G16" i="2"/>
  <c r="J13" i="2"/>
  <c r="J63" i="2" s="1"/>
  <c r="K10" i="2"/>
  <c r="K13" i="2" s="1"/>
  <c r="K63" i="2" s="1"/>
  <c r="F34" i="1"/>
  <c r="F35" i="1" s="1" a="1"/>
  <c r="F35" i="1" s="1"/>
  <c r="F69" i="1"/>
  <c r="G27" i="1"/>
  <c r="G28" i="1" s="1"/>
  <c r="G33" i="1" s="1"/>
  <c r="G69" i="1" s="1"/>
  <c r="G66" i="1"/>
  <c r="G67" i="1" s="1"/>
  <c r="H51" i="1"/>
  <c r="H30" i="1" s="1"/>
  <c r="H57" i="1"/>
  <c r="H58" i="1" s="1"/>
  <c r="H19" i="1"/>
  <c r="H21" i="1" s="1"/>
  <c r="H22" i="1" s="1"/>
  <c r="G24" i="1"/>
  <c r="G23" i="1"/>
  <c r="I15" i="1"/>
  <c r="I57" i="1" s="1"/>
  <c r="I63" i="1"/>
  <c r="I64" i="1" s="1"/>
  <c r="K7" i="1"/>
  <c r="K10" i="1"/>
  <c r="L10" i="1" s="1"/>
  <c r="J13" i="1"/>
  <c r="K64" i="2" l="1"/>
  <c r="I48" i="2"/>
  <c r="K7" i="2"/>
  <c r="L7" i="2" s="1"/>
  <c r="M7" i="2" s="1"/>
  <c r="I19" i="2"/>
  <c r="I21" i="2" s="1"/>
  <c r="I22" i="2" s="1"/>
  <c r="J15" i="2"/>
  <c r="J57" i="2" s="1"/>
  <c r="J58" i="2" s="1"/>
  <c r="H57" i="2"/>
  <c r="H58" i="2" s="1"/>
  <c r="H19" i="2"/>
  <c r="H21" i="2" s="1"/>
  <c r="H22" i="2" s="1"/>
  <c r="H24" i="2" s="1"/>
  <c r="H16" i="2"/>
  <c r="H48" i="2"/>
  <c r="H30" i="2" s="1"/>
  <c r="G23" i="2"/>
  <c r="G66" i="2"/>
  <c r="G67" i="2" s="1"/>
  <c r="I64" i="2"/>
  <c r="I16" i="2"/>
  <c r="J64" i="2"/>
  <c r="F33" i="2"/>
  <c r="N10" i="2"/>
  <c r="G27" i="2"/>
  <c r="G28" i="2" s="1"/>
  <c r="G33" i="2" s="1"/>
  <c r="L10" i="2"/>
  <c r="G24" i="2"/>
  <c r="G34" i="1"/>
  <c r="G35" i="1" s="1" a="1"/>
  <c r="G35" i="1" s="1"/>
  <c r="I58" i="1"/>
  <c r="H27" i="1"/>
  <c r="H28" i="1" s="1"/>
  <c r="H33" i="1" s="1"/>
  <c r="H66" i="1"/>
  <c r="H67" i="1" s="1"/>
  <c r="H24" i="1"/>
  <c r="H23" i="1"/>
  <c r="I51" i="1"/>
  <c r="I30" i="1" s="1"/>
  <c r="I19" i="1"/>
  <c r="I21" i="1" s="1"/>
  <c r="I22" i="1" s="1"/>
  <c r="I16" i="1"/>
  <c r="J15" i="1"/>
  <c r="J16" i="1" s="1"/>
  <c r="J63" i="1"/>
  <c r="J64" i="1" s="1"/>
  <c r="L7" i="1"/>
  <c r="K60" i="1"/>
  <c r="K13" i="1"/>
  <c r="N7" i="2" l="1"/>
  <c r="K15" i="2"/>
  <c r="K57" i="2" s="1"/>
  <c r="K58" i="2" s="1"/>
  <c r="K60" i="2"/>
  <c r="H23" i="2"/>
  <c r="I30" i="2"/>
  <c r="J48" i="2"/>
  <c r="J30" i="2" s="1"/>
  <c r="J19" i="2"/>
  <c r="J21" i="2" s="1"/>
  <c r="J22" i="2" s="1"/>
  <c r="J66" i="2" s="1"/>
  <c r="J67" i="2" s="1"/>
  <c r="J16" i="2"/>
  <c r="I58" i="2"/>
  <c r="F34" i="2"/>
  <c r="F35" i="2" s="1" a="1"/>
  <c r="F35" i="2" s="1"/>
  <c r="F69" i="2"/>
  <c r="H27" i="2"/>
  <c r="H28" i="2" s="1"/>
  <c r="H33" i="2" s="1"/>
  <c r="H69" i="2" s="1"/>
  <c r="H66" i="2"/>
  <c r="H67" i="2" s="1"/>
  <c r="I24" i="2"/>
  <c r="I66" i="2"/>
  <c r="I67" i="2" s="1"/>
  <c r="G34" i="2"/>
  <c r="G69" i="2"/>
  <c r="I27" i="2"/>
  <c r="I23" i="2"/>
  <c r="M10" i="2"/>
  <c r="M13" i="2" s="1"/>
  <c r="M15" i="2" s="1"/>
  <c r="L13" i="2"/>
  <c r="L15" i="2" s="1"/>
  <c r="H34" i="1"/>
  <c r="H35" i="1" s="1" a="1"/>
  <c r="H35" i="1" s="1"/>
  <c r="H69" i="1"/>
  <c r="I27" i="1"/>
  <c r="I28" i="1" s="1"/>
  <c r="I66" i="1"/>
  <c r="I67" i="1" s="1"/>
  <c r="I24" i="1"/>
  <c r="I23" i="1"/>
  <c r="J19" i="1"/>
  <c r="J21" i="1" s="1"/>
  <c r="J22" i="1" s="1"/>
  <c r="J57" i="1"/>
  <c r="J58" i="1" s="1"/>
  <c r="J51" i="1"/>
  <c r="J30" i="1" s="1"/>
  <c r="K15" i="1"/>
  <c r="K57" i="1" s="1"/>
  <c r="K63" i="1"/>
  <c r="K64" i="1" s="1"/>
  <c r="I28" i="2" l="1"/>
  <c r="I33" i="2" s="1"/>
  <c r="I69" i="2" s="1"/>
  <c r="J27" i="2"/>
  <c r="J28" i="2" s="1"/>
  <c r="J33" i="2" s="1"/>
  <c r="J69" i="2" s="1"/>
  <c r="J23" i="2"/>
  <c r="K19" i="2"/>
  <c r="K21" i="2" s="1"/>
  <c r="K22" i="2" s="1"/>
  <c r="K48" i="2"/>
  <c r="K30" i="2" s="1"/>
  <c r="N15" i="2"/>
  <c r="K16" i="2"/>
  <c r="J24" i="2"/>
  <c r="M16" i="2"/>
  <c r="H34" i="2"/>
  <c r="G35" i="2" a="1"/>
  <c r="G35" i="2" s="1"/>
  <c r="L16" i="2"/>
  <c r="L19" i="2"/>
  <c r="L21" i="2" s="1"/>
  <c r="L22" i="2" s="1"/>
  <c r="L23" i="2" s="1"/>
  <c r="L48" i="2"/>
  <c r="M19" i="2"/>
  <c r="M21" i="2" s="1"/>
  <c r="M22" i="2" s="1"/>
  <c r="M48" i="2"/>
  <c r="M31" i="2" s="1"/>
  <c r="I33" i="1"/>
  <c r="I34" i="1" s="1"/>
  <c r="I35" i="1" s="1" a="1"/>
  <c r="I35" i="1" s="1"/>
  <c r="J27" i="1"/>
  <c r="J28" i="1" s="1"/>
  <c r="J33" i="1" s="1"/>
  <c r="J66" i="1"/>
  <c r="J67" i="1" s="1"/>
  <c r="K58" i="1"/>
  <c r="J24" i="1"/>
  <c r="K51" i="1"/>
  <c r="K31" i="1" s="1"/>
  <c r="L15" i="1"/>
  <c r="J23" i="1"/>
  <c r="K19" i="1"/>
  <c r="K21" i="1" s="1"/>
  <c r="K22" i="1" s="1"/>
  <c r="K16" i="1"/>
  <c r="L30" i="2" l="1"/>
  <c r="I34" i="2"/>
  <c r="H35" i="2" a="1"/>
  <c r="H35" i="2" s="1"/>
  <c r="K24" i="2"/>
  <c r="K66" i="2"/>
  <c r="K67" i="2" s="1"/>
  <c r="K23" i="2"/>
  <c r="K27" i="2"/>
  <c r="K28" i="2" s="1"/>
  <c r="K33" i="2" s="1"/>
  <c r="K69" i="2" s="1"/>
  <c r="L27" i="2"/>
  <c r="L28" i="2" s="1"/>
  <c r="M23" i="2"/>
  <c r="M27" i="2"/>
  <c r="M28" i="2" s="1"/>
  <c r="M30" i="2"/>
  <c r="L24" i="2"/>
  <c r="M24" i="2"/>
  <c r="I69" i="1"/>
  <c r="J34" i="2"/>
  <c r="J34" i="1"/>
  <c r="J35" i="1" s="1" a="1"/>
  <c r="J35" i="1" s="1"/>
  <c r="J69" i="1"/>
  <c r="K23" i="1"/>
  <c r="K66" i="1"/>
  <c r="K67" i="1" s="1"/>
  <c r="K30" i="1"/>
  <c r="K27" i="1"/>
  <c r="K28" i="1" s="1"/>
  <c r="K24" i="1"/>
  <c r="L33" i="2" l="1"/>
  <c r="L34" i="2" s="1"/>
  <c r="I35" i="2" a="1"/>
  <c r="I35" i="2" s="1"/>
  <c r="J35" i="2" s="1" a="1"/>
  <c r="J35" i="2" s="1"/>
  <c r="M33" i="2"/>
  <c r="K33" i="1"/>
  <c r="K69" i="1" s="1"/>
  <c r="K34" i="2"/>
  <c r="C39" i="2" l="1"/>
  <c r="R24" i="2" s="1"/>
  <c r="R29" i="2" s="1"/>
  <c r="K35" i="2" a="1"/>
  <c r="K35" i="2" s="1"/>
  <c r="L35" i="2" s="1" a="1"/>
  <c r="L35" i="2" s="1"/>
  <c r="C38" i="2"/>
  <c r="R23" i="2" s="1"/>
  <c r="R28" i="2" s="1"/>
  <c r="M34" i="2"/>
  <c r="C38" i="1"/>
  <c r="C71" i="1" s="1"/>
  <c r="K34" i="1"/>
  <c r="K35" i="1" s="1" a="1"/>
  <c r="K35" i="1" s="1"/>
  <c r="C40" i="1" s="1"/>
  <c r="C39" i="1"/>
  <c r="P24" i="1" s="1"/>
  <c r="P29" i="1" s="1"/>
  <c r="C72" i="2" l="1"/>
  <c r="M35" i="2" a="1"/>
  <c r="M35" i="2" s="1"/>
  <c r="C71" i="2"/>
  <c r="P23" i="1"/>
  <c r="P28" i="1" s="1"/>
  <c r="C72" i="1"/>
  <c r="R25" i="2"/>
  <c r="R30" i="2" s="1"/>
  <c r="P25" i="1"/>
  <c r="P30" i="1" s="1"/>
  <c r="C7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<sst xmlns="http://schemas.openxmlformats.org/spreadsheetml/2006/main" count="193" uniqueCount="57">
  <si>
    <t>x</t>
  </si>
  <si>
    <t>Financials</t>
  </si>
  <si>
    <t>Year</t>
  </si>
  <si>
    <t>Price Per Unit</t>
  </si>
  <si>
    <t>Growth %</t>
  </si>
  <si>
    <t>Market Demand</t>
  </si>
  <si>
    <t>Capacity</t>
  </si>
  <si>
    <t>Revenue</t>
  </si>
  <si>
    <t>Expenses:</t>
  </si>
  <si>
    <t>Variable Costs</t>
  </si>
  <si>
    <t>Fixed Costs</t>
  </si>
  <si>
    <t>Total Operating Expenses</t>
  </si>
  <si>
    <t>EBITDA</t>
  </si>
  <si>
    <t>Margin</t>
  </si>
  <si>
    <t>Margin %</t>
  </si>
  <si>
    <t>Cash Flow</t>
  </si>
  <si>
    <t>Unlevered Taxes</t>
  </si>
  <si>
    <t>Capex</t>
  </si>
  <si>
    <t>NWC</t>
  </si>
  <si>
    <t>Salavge</t>
  </si>
  <si>
    <t>FCF</t>
  </si>
  <si>
    <t>CAGR</t>
  </si>
  <si>
    <t>Case</t>
  </si>
  <si>
    <t>Assumptions</t>
  </si>
  <si>
    <t>Base</t>
  </si>
  <si>
    <t>Upside</t>
  </si>
  <si>
    <t>Refit Base</t>
  </si>
  <si>
    <t>Downside</t>
  </si>
  <si>
    <t>Abandonment</t>
  </si>
  <si>
    <t>New Build</t>
  </si>
  <si>
    <t>Capacity 2021</t>
  </si>
  <si>
    <t>End. Variable Cost %</t>
  </si>
  <si>
    <t>Beg. Variable Cost %</t>
  </si>
  <si>
    <t>Discount Rate</t>
  </si>
  <si>
    <t>Salvage Value</t>
  </si>
  <si>
    <t>Capacity Switch</t>
  </si>
  <si>
    <t>Variable Cost</t>
  </si>
  <si>
    <t>Depreciation Rate</t>
  </si>
  <si>
    <t>D&amp;A</t>
  </si>
  <si>
    <t>IRR</t>
  </si>
  <si>
    <t>NPV</t>
  </si>
  <si>
    <t>Payback Period</t>
  </si>
  <si>
    <t>Item</t>
  </si>
  <si>
    <t xml:space="preserve">NPV </t>
  </si>
  <si>
    <t>Aband 3rd</t>
  </si>
  <si>
    <t>Aband 2nd</t>
  </si>
  <si>
    <t>Abandonment 2yr Switch</t>
  </si>
  <si>
    <t>Abandonment 2yr</t>
  </si>
  <si>
    <t>N/A</t>
  </si>
  <si>
    <t>WNYTB</t>
  </si>
  <si>
    <t>Sens</t>
  </si>
  <si>
    <t xml:space="preserve">Variable </t>
  </si>
  <si>
    <t>Step</t>
  </si>
  <si>
    <t>Impact</t>
  </si>
  <si>
    <t>Units Sold</t>
  </si>
  <si>
    <t>NPV ($ thousands)</t>
  </si>
  <si>
    <t>Payback Period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</si>
</sst>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"/>
    <numFmt numFmtId="165" formatCode="_(* #,##0.0_);_(* \(#,##0.0\);_(* &quot;-&quot;??_);_(@_)"/>
    <numFmt numFmtId="166" formatCode="_(* #,##0_);_(* \(#,##0\);_(* &quot;-&quot;??_);_(@_)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u val="singleAccounting"/>
      <sz val="11"/>
      <color theme="0"/>
      <name val="Arial"/>
      <family val="2"/>
    </font>
    <font>
      <sz val="11"/>
      <color theme="1"/>
      <name val="Playbill"/>
      <family val="5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2" fillId="0" borderId="2" xfId="0" applyFont="1" applyBorder="1"/>
    <xf numFmtId="9" fontId="2" fillId="0" borderId="0" xfId="0" applyNumberFormat="1" applyFont="1"/>
    <xf numFmtId="10" fontId="2" fillId="0" borderId="0" xfId="0" applyNumberFormat="1" applyFont="1"/>
    <xf numFmtId="165" fontId="2" fillId="0" borderId="0" xfId="1" applyNumberFormat="1" applyFont="1"/>
    <xf numFmtId="166" fontId="2" fillId="0" borderId="0" xfId="1" applyNumberFormat="1" applyFont="1"/>
    <xf numFmtId="9" fontId="2" fillId="0" borderId="0" xfId="2" applyFont="1"/>
    <xf numFmtId="167" fontId="2" fillId="0" borderId="0" xfId="2" applyNumberFormat="1" applyFont="1"/>
    <xf numFmtId="1" fontId="2" fillId="0" borderId="0" xfId="0" applyNumberFormat="1" applyFont="1"/>
    <xf numFmtId="0" fontId="6" fillId="0" borderId="2" xfId="0" applyFont="1" applyBorder="1"/>
    <xf numFmtId="166" fontId="2" fillId="0" borderId="0" xfId="0" applyNumberFormat="1" applyFont="1"/>
    <xf numFmtId="0" fontId="6" fillId="0" borderId="0" xfId="0" applyFont="1"/>
    <xf numFmtId="166" fontId="6" fillId="0" borderId="2" xfId="0" applyNumberFormat="1" applyFont="1" applyBorder="1"/>
    <xf numFmtId="0" fontId="6" fillId="3" borderId="1" xfId="0" applyFont="1" applyFill="1" applyBorder="1"/>
    <xf numFmtId="166" fontId="6" fillId="3" borderId="1" xfId="0" applyNumberFormat="1" applyFont="1" applyFill="1" applyBorder="1"/>
    <xf numFmtId="0" fontId="6" fillId="4" borderId="4" xfId="0" applyFont="1" applyFill="1" applyBorder="1"/>
    <xf numFmtId="166" fontId="6" fillId="4" borderId="4" xfId="0" applyNumberFormat="1" applyFont="1" applyFill="1" applyBorder="1"/>
    <xf numFmtId="9" fontId="6" fillId="4" borderId="5" xfId="0" applyNumberFormat="1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166" fontId="6" fillId="4" borderId="6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9" fontId="2" fillId="0" borderId="6" xfId="0" applyNumberFormat="1" applyFont="1" applyBorder="1"/>
    <xf numFmtId="10" fontId="2" fillId="0" borderId="6" xfId="0" applyNumberFormat="1" applyFont="1" applyBorder="1"/>
    <xf numFmtId="9" fontId="2" fillId="0" borderId="6" xfId="2" applyFont="1" applyBorder="1"/>
    <xf numFmtId="0" fontId="6" fillId="4" borderId="7" xfId="0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9" fontId="2" fillId="0" borderId="0" xfId="2" applyFont="1" applyBorder="1"/>
    <xf numFmtId="0" fontId="2" fillId="0" borderId="0" xfId="0" applyFont="1" applyAlignment="1">
      <alignment horizontal="right"/>
    </xf>
    <xf numFmtId="166" fontId="2" fillId="0" borderId="0" xfId="1" applyNumberFormat="1" applyFont="1" applyBorder="1"/>
    <xf numFmtId="9" fontId="2" fillId="0" borderId="9" xfId="0" applyNumberFormat="1" applyFont="1" applyBorder="1"/>
    <xf numFmtId="0" fontId="2" fillId="0" borderId="9" xfId="0" applyFont="1" applyBorder="1"/>
    <xf numFmtId="10" fontId="2" fillId="0" borderId="9" xfId="0" applyNumberFormat="1" applyFont="1" applyBorder="1"/>
    <xf numFmtId="9" fontId="2" fillId="0" borderId="9" xfId="2" applyFont="1" applyBorder="1"/>
    <xf numFmtId="166" fontId="2" fillId="0" borderId="9" xfId="1" applyNumberFormat="1" applyFont="1" applyBorder="1"/>
    <xf numFmtId="9" fontId="7" fillId="0" borderId="6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0" xfId="0" applyFont="1"/>
    <xf numFmtId="9" fontId="7" fillId="0" borderId="0" xfId="0" applyNumberFormat="1" applyFont="1"/>
    <xf numFmtId="10" fontId="7" fillId="0" borderId="0" xfId="0" applyNumberFormat="1" applyFont="1"/>
    <xf numFmtId="9" fontId="7" fillId="0" borderId="0" xfId="2" applyFont="1" applyBorder="1"/>
    <xf numFmtId="0" fontId="8" fillId="2" borderId="0" xfId="0" applyFont="1" applyFill="1" applyAlignment="1">
      <alignment horizontal="center"/>
    </xf>
    <xf numFmtId="0" fontId="9" fillId="0" borderId="0" xfId="0" applyFont="1"/>
    <xf numFmtId="0" fontId="8" fillId="5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0" fontId="2" fillId="0" borderId="0" xfId="0" applyFont="1" applyAlignment="1">
      <alignment wrapText="1"/>
    </xf>
    <xf numFmtId="167" fontId="2" fillId="0" borderId="0" xfId="0" applyNumberFormat="1" applyFont="1"/>
    <xf numFmtId="9" fontId="2" fillId="0" borderId="0" xfId="0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0" fontId="6" fillId="0" borderId="1" xfId="0" applyFont="1" applyFill="1" applyBorder="1"/>
    <xf numFmtId="166" fontId="6" fillId="0" borderId="1" xfId="0" applyNumberFormat="1" applyFont="1" applyFill="1" applyBorder="1"/>
    <xf numFmtId="0" fontId="2" fillId="4" borderId="1" xfId="0" applyFont="1" applyFill="1" applyBorder="1"/>
    <xf numFmtId="166" fontId="6" fillId="4" borderId="1" xfId="1" applyNumberFormat="1" applyFont="1" applyFill="1" applyBorder="1"/>
    <xf numFmtId="0" fontId="2" fillId="4" borderId="0" xfId="0" applyFont="1" applyFill="1"/>
    <xf numFmtId="0" fontId="2" fillId="6" borderId="3" xfId="0" applyFont="1" applyFill="1" applyBorder="1"/>
    <xf numFmtId="9" fontId="2" fillId="4" borderId="0" xfId="2" applyFont="1" applyFill="1"/>
    <xf numFmtId="0" fontId="1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73"/>
  <sheetViews>
    <sheetView showGridLines="0" tabSelected="1" topLeftCell="B1" zoomScale="55" workbookViewId="0">
      <selection activeCell="M39" sqref="M39"/>
    </sheetView>
  </sheetViews>
  <sheetFormatPr defaultColWidth="10.6328125" defaultRowHeight="14" outlineLevelCol="1" x14ac:dyDescent="0.3"/>
  <cols>
    <col min="1" max="1" width="1.6328125" style="1" customWidth="1"/>
    <col min="2" max="2" width="25.6328125" style="1" customWidth="1"/>
    <col min="3" max="4" width="10.7265625" style="1" bestFit="1" customWidth="1"/>
    <col min="5" max="5" width="10.6328125" style="1" customWidth="1"/>
    <col min="6" max="9" width="10.81640625" style="1" customWidth="1" outlineLevel="1"/>
    <col min="10" max="11" width="10.81640625" style="1" bestFit="1" customWidth="1"/>
    <col min="12" max="14" width="10.6328125" style="1"/>
    <col min="15" max="15" width="25.6328125" style="1" customWidth="1"/>
    <col min="16" max="16" width="11.453125" style="1" bestFit="1" customWidth="1"/>
    <col min="17" max="16384" width="10.6328125" style="1"/>
  </cols>
  <sheetData>
    <row r="2" spans="1:52" x14ac:dyDescent="0.3">
      <c r="D2" s="69">
        <v>1</v>
      </c>
      <c r="E2" s="69">
        <f>D2+1</f>
        <v>2</v>
      </c>
      <c r="F2" s="69">
        <f t="shared" ref="F2:K2" si="0">E2+1</f>
        <v>3</v>
      </c>
      <c r="G2" s="69">
        <f t="shared" si="0"/>
        <v>4</v>
      </c>
      <c r="H2" s="69">
        <f t="shared" si="0"/>
        <v>5</v>
      </c>
      <c r="I2" s="69">
        <f t="shared" si="0"/>
        <v>6</v>
      </c>
      <c r="J2" s="69">
        <f t="shared" si="0"/>
        <v>7</v>
      </c>
      <c r="K2" s="69">
        <f t="shared" si="0"/>
        <v>8</v>
      </c>
    </row>
    <row r="3" spans="1:52" x14ac:dyDescent="0.3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O3" s="2" t="s">
        <v>23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52" x14ac:dyDescent="0.3">
      <c r="P4" s="1" t="s">
        <v>22</v>
      </c>
      <c r="U4" s="29"/>
    </row>
    <row r="5" spans="1:52" ht="17" x14ac:dyDescent="0.6">
      <c r="B5" s="3" t="s">
        <v>2</v>
      </c>
      <c r="C5" s="4">
        <v>44196</v>
      </c>
      <c r="D5" s="4">
        <f>C5+365</f>
        <v>44561</v>
      </c>
      <c r="E5" s="4">
        <f t="shared" ref="E5:K5" si="1">D5+365</f>
        <v>44926</v>
      </c>
      <c r="F5" s="4">
        <f t="shared" si="1"/>
        <v>45291</v>
      </c>
      <c r="G5" s="4">
        <f t="shared" si="1"/>
        <v>45656</v>
      </c>
      <c r="H5" s="4">
        <f t="shared" si="1"/>
        <v>46021</v>
      </c>
      <c r="I5" s="4">
        <f t="shared" si="1"/>
        <v>46386</v>
      </c>
      <c r="J5" s="4">
        <f t="shared" si="1"/>
        <v>46751</v>
      </c>
      <c r="K5" s="4">
        <f t="shared" si="1"/>
        <v>47116</v>
      </c>
      <c r="L5" s="4" t="s">
        <v>21</v>
      </c>
      <c r="P5" s="67">
        <v>1</v>
      </c>
      <c r="Q5" s="1">
        <v>1</v>
      </c>
      <c r="R5" s="1">
        <f>Q5+1</f>
        <v>2</v>
      </c>
      <c r="S5" s="1">
        <f t="shared" ref="S5" si="2">R5+1</f>
        <v>3</v>
      </c>
      <c r="T5" s="1">
        <f t="shared" ref="T5:Z5" si="3">S5+1</f>
        <v>4</v>
      </c>
      <c r="U5" s="29">
        <f t="shared" si="3"/>
        <v>5</v>
      </c>
      <c r="V5" s="1">
        <f t="shared" si="3"/>
        <v>6</v>
      </c>
      <c r="W5" s="1">
        <f t="shared" si="3"/>
        <v>7</v>
      </c>
      <c r="X5" s="1">
        <f t="shared" si="3"/>
        <v>8</v>
      </c>
      <c r="Y5" s="1">
        <f t="shared" si="3"/>
        <v>9</v>
      </c>
      <c r="Z5" s="29">
        <f t="shared" si="3"/>
        <v>10</v>
      </c>
      <c r="AM5" s="29"/>
    </row>
    <row r="6" spans="1:52" x14ac:dyDescent="0.3">
      <c r="O6" s="8" t="s">
        <v>42</v>
      </c>
      <c r="P6" s="8" t="str">
        <f ca="1">OFFSET(P6,,$P$5)</f>
        <v>Refit Base</v>
      </c>
      <c r="Q6" s="8" t="s">
        <v>26</v>
      </c>
      <c r="R6" s="8" t="s">
        <v>25</v>
      </c>
      <c r="S6" s="8" t="s">
        <v>27</v>
      </c>
      <c r="T6" s="8" t="s">
        <v>45</v>
      </c>
      <c r="U6" s="30" t="s">
        <v>44</v>
      </c>
      <c r="V6" s="8" t="s">
        <v>29</v>
      </c>
      <c r="W6" s="8" t="s">
        <v>25</v>
      </c>
      <c r="X6" s="8" t="s">
        <v>27</v>
      </c>
      <c r="Y6" s="8" t="s">
        <v>28</v>
      </c>
      <c r="Z6" s="30" t="s">
        <v>49</v>
      </c>
      <c r="AA6" s="8" t="s">
        <v>50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0"/>
      <c r="AN6" s="8"/>
      <c r="AO6" s="8"/>
      <c r="AP6" s="8"/>
      <c r="AQ6" s="8"/>
      <c r="AR6" s="8"/>
      <c r="AS6" s="8"/>
      <c r="AT6" s="8"/>
      <c r="AU6" s="8"/>
    </row>
    <row r="7" spans="1:52" x14ac:dyDescent="0.3">
      <c r="B7" s="1" t="s">
        <v>3</v>
      </c>
      <c r="D7" s="1">
        <f ca="1">$P$7</f>
        <v>1120</v>
      </c>
      <c r="E7" s="12">
        <f t="shared" ref="E7:K7" ca="1" si="4">D7*(1+E8)</f>
        <v>1142.4000000000001</v>
      </c>
      <c r="F7" s="12">
        <f t="shared" ca="1" si="4"/>
        <v>1165.248</v>
      </c>
      <c r="G7" s="12">
        <f t="shared" ca="1" si="4"/>
        <v>1188.55296</v>
      </c>
      <c r="H7" s="12">
        <f t="shared" ca="1" si="4"/>
        <v>1212.3240192000001</v>
      </c>
      <c r="I7" s="12">
        <f t="shared" ca="1" si="4"/>
        <v>1236.5704995840001</v>
      </c>
      <c r="J7" s="12">
        <f t="shared" ca="1" si="4"/>
        <v>1261.3019095756802</v>
      </c>
      <c r="K7" s="12">
        <f t="shared" ca="1" si="4"/>
        <v>1286.5279477671938</v>
      </c>
      <c r="L7" s="14">
        <f ca="1">_xlfn.RRI(7,D7,K7)</f>
        <v>2.0000000000000018E-2</v>
      </c>
      <c r="O7" s="1" t="s">
        <v>3</v>
      </c>
      <c r="P7" s="66">
        <f t="shared" ref="P7:P17" ca="1" si="5">OFFSET(P7,,$P$5)</f>
        <v>1120</v>
      </c>
      <c r="Q7" s="1">
        <v>1120</v>
      </c>
      <c r="R7" s="1">
        <f>$Q7</f>
        <v>1120</v>
      </c>
      <c r="S7" s="1">
        <f t="shared" ref="S7:U20" si="6">$Q7</f>
        <v>1120</v>
      </c>
      <c r="T7" s="1">
        <f t="shared" si="6"/>
        <v>1120</v>
      </c>
      <c r="U7" s="29">
        <f>T7</f>
        <v>1120</v>
      </c>
      <c r="V7" s="1">
        <v>1120</v>
      </c>
      <c r="W7" s="1">
        <f>$V7</f>
        <v>1120</v>
      </c>
      <c r="X7" s="1">
        <f>$V7</f>
        <v>1120</v>
      </c>
      <c r="Y7" s="1">
        <f>$V7</f>
        <v>1120</v>
      </c>
      <c r="Z7" s="29">
        <f>$V7</f>
        <v>1120</v>
      </c>
      <c r="AA7" s="47">
        <v>1170</v>
      </c>
      <c r="AB7" s="1">
        <f t="shared" ref="AB7:AM7" si="7">$Q7</f>
        <v>1120</v>
      </c>
      <c r="AC7" s="1">
        <f t="shared" si="7"/>
        <v>1120</v>
      </c>
      <c r="AD7" s="1">
        <f t="shared" si="7"/>
        <v>1120</v>
      </c>
      <c r="AE7" s="1">
        <f t="shared" si="7"/>
        <v>1120</v>
      </c>
      <c r="AF7" s="1">
        <f t="shared" si="7"/>
        <v>1120</v>
      </c>
      <c r="AG7" s="1">
        <f t="shared" si="7"/>
        <v>1120</v>
      </c>
      <c r="AH7" s="1">
        <f t="shared" si="7"/>
        <v>1120</v>
      </c>
      <c r="AI7" s="1">
        <f t="shared" si="7"/>
        <v>1120</v>
      </c>
      <c r="AJ7" s="1">
        <f t="shared" si="7"/>
        <v>1120</v>
      </c>
      <c r="AK7" s="1">
        <f t="shared" si="7"/>
        <v>1120</v>
      </c>
      <c r="AL7" s="1">
        <f t="shared" si="7"/>
        <v>1120</v>
      </c>
      <c r="AM7" s="29">
        <f t="shared" si="7"/>
        <v>1120</v>
      </c>
      <c r="AN7" s="47">
        <v>1170</v>
      </c>
      <c r="AO7" s="1">
        <f t="shared" ref="AO7:AZ7" si="8">$V7</f>
        <v>1120</v>
      </c>
      <c r="AP7" s="1">
        <f t="shared" si="8"/>
        <v>1120</v>
      </c>
      <c r="AQ7" s="1">
        <f t="shared" si="8"/>
        <v>1120</v>
      </c>
      <c r="AR7" s="1">
        <f t="shared" si="8"/>
        <v>1120</v>
      </c>
      <c r="AS7" s="1">
        <f t="shared" si="8"/>
        <v>1120</v>
      </c>
      <c r="AT7" s="1">
        <f t="shared" si="8"/>
        <v>1120</v>
      </c>
      <c r="AU7" s="1">
        <f t="shared" si="8"/>
        <v>1120</v>
      </c>
      <c r="AV7" s="1">
        <f t="shared" si="8"/>
        <v>1120</v>
      </c>
      <c r="AW7" s="1">
        <f t="shared" si="8"/>
        <v>1120</v>
      </c>
      <c r="AX7" s="1">
        <f t="shared" si="8"/>
        <v>1120</v>
      </c>
      <c r="AY7" s="1">
        <f t="shared" si="8"/>
        <v>1120</v>
      </c>
      <c r="AZ7" s="1">
        <f t="shared" si="8"/>
        <v>1120</v>
      </c>
    </row>
    <row r="8" spans="1:52" ht="14.5" x14ac:dyDescent="0.35">
      <c r="B8" s="6" t="s">
        <v>4</v>
      </c>
      <c r="E8" s="14">
        <f t="shared" ref="E8:K8" ca="1" si="9">$P$8</f>
        <v>0.02</v>
      </c>
      <c r="F8" s="14">
        <f t="shared" ca="1" si="9"/>
        <v>0.02</v>
      </c>
      <c r="G8" s="14">
        <f t="shared" ca="1" si="9"/>
        <v>0.02</v>
      </c>
      <c r="H8" s="14">
        <f t="shared" ca="1" si="9"/>
        <v>0.02</v>
      </c>
      <c r="I8" s="14">
        <f t="shared" ca="1" si="9"/>
        <v>0.02</v>
      </c>
      <c r="J8" s="14">
        <f t="shared" ca="1" si="9"/>
        <v>0.02</v>
      </c>
      <c r="K8" s="14">
        <f t="shared" ca="1" si="9"/>
        <v>0.02</v>
      </c>
      <c r="O8" s="1" t="s">
        <v>4</v>
      </c>
      <c r="P8" s="68">
        <f t="shared" ca="1" si="5"/>
        <v>0.02</v>
      </c>
      <c r="Q8" s="9">
        <v>0.02</v>
      </c>
      <c r="R8" s="9">
        <f t="shared" ref="R8:R20" si="10">$Q8</f>
        <v>0.02</v>
      </c>
      <c r="S8" s="9">
        <f t="shared" si="6"/>
        <v>0.02</v>
      </c>
      <c r="T8" s="9">
        <f t="shared" si="6"/>
        <v>0.02</v>
      </c>
      <c r="U8" s="31">
        <f t="shared" si="6"/>
        <v>0.02</v>
      </c>
      <c r="V8" s="9">
        <f>Q8</f>
        <v>0.02</v>
      </c>
      <c r="W8" s="9">
        <f>$V8</f>
        <v>0.02</v>
      </c>
      <c r="X8" s="9">
        <f>$V8</f>
        <v>0.02</v>
      </c>
      <c r="Y8" s="9">
        <f>$V8</f>
        <v>0.02</v>
      </c>
      <c r="Z8" s="9">
        <f t="shared" ref="Z8:Z22" si="11">$V8</f>
        <v>0.02</v>
      </c>
      <c r="AA8" s="39">
        <f t="shared" ref="AA8:AM22" si="12">$Q8</f>
        <v>0.02</v>
      </c>
      <c r="AB8" s="48">
        <v>0.03</v>
      </c>
      <c r="AC8" s="9">
        <f t="shared" si="12"/>
        <v>0.02</v>
      </c>
      <c r="AD8" s="9">
        <f t="shared" si="12"/>
        <v>0.02</v>
      </c>
      <c r="AE8" s="9">
        <f t="shared" si="12"/>
        <v>0.02</v>
      </c>
      <c r="AF8" s="9">
        <f t="shared" si="12"/>
        <v>0.02</v>
      </c>
      <c r="AG8" s="9">
        <f t="shared" si="12"/>
        <v>0.02</v>
      </c>
      <c r="AH8" s="9">
        <f t="shared" si="12"/>
        <v>0.02</v>
      </c>
      <c r="AI8" s="9">
        <f t="shared" si="12"/>
        <v>0.02</v>
      </c>
      <c r="AJ8" s="9">
        <f t="shared" si="12"/>
        <v>0.02</v>
      </c>
      <c r="AK8" s="9">
        <f t="shared" si="12"/>
        <v>0.02</v>
      </c>
      <c r="AL8" s="9">
        <f t="shared" si="12"/>
        <v>0.02</v>
      </c>
      <c r="AM8" s="31">
        <f t="shared" si="12"/>
        <v>0.02</v>
      </c>
      <c r="AN8" s="9">
        <f t="shared" ref="AN8:AZ19" si="13">$V8</f>
        <v>0.02</v>
      </c>
      <c r="AO8" s="48">
        <v>0.03</v>
      </c>
      <c r="AP8" s="9">
        <f t="shared" si="13"/>
        <v>0.02</v>
      </c>
      <c r="AQ8" s="9">
        <f t="shared" si="13"/>
        <v>0.02</v>
      </c>
      <c r="AR8" s="9">
        <f t="shared" si="13"/>
        <v>0.02</v>
      </c>
      <c r="AS8" s="9">
        <f t="shared" si="13"/>
        <v>0.02</v>
      </c>
      <c r="AT8" s="9">
        <f t="shared" si="13"/>
        <v>0.02</v>
      </c>
      <c r="AU8" s="9">
        <f t="shared" si="13"/>
        <v>0.02</v>
      </c>
      <c r="AV8" s="9">
        <f t="shared" si="13"/>
        <v>0.02</v>
      </c>
      <c r="AW8" s="9">
        <f t="shared" si="13"/>
        <v>0.02</v>
      </c>
      <c r="AX8" s="9">
        <f t="shared" si="13"/>
        <v>0.02</v>
      </c>
      <c r="AY8" s="9">
        <f t="shared" si="13"/>
        <v>0.02</v>
      </c>
      <c r="AZ8" s="9">
        <f t="shared" si="13"/>
        <v>0.02</v>
      </c>
    </row>
    <row r="9" spans="1:52" x14ac:dyDescent="0.3">
      <c r="O9" s="1" t="s">
        <v>5</v>
      </c>
      <c r="P9" s="66">
        <f t="shared" ca="1" si="5"/>
        <v>8</v>
      </c>
      <c r="Q9" s="1">
        <v>8</v>
      </c>
      <c r="R9" s="1">
        <v>10</v>
      </c>
      <c r="S9" s="1">
        <v>6</v>
      </c>
      <c r="T9" s="1">
        <v>6</v>
      </c>
      <c r="U9" s="29">
        <v>6</v>
      </c>
      <c r="V9" s="1">
        <f>Q9</f>
        <v>8</v>
      </c>
      <c r="W9" s="1">
        <v>10</v>
      </c>
      <c r="X9" s="1">
        <v>6</v>
      </c>
      <c r="Y9" s="1">
        <v>6</v>
      </c>
      <c r="Z9" s="1">
        <v>12</v>
      </c>
      <c r="AA9" s="40">
        <f t="shared" si="12"/>
        <v>8</v>
      </c>
      <c r="AB9" s="1">
        <f t="shared" si="12"/>
        <v>8</v>
      </c>
      <c r="AC9" s="47">
        <v>9</v>
      </c>
      <c r="AD9" s="1">
        <f t="shared" si="12"/>
        <v>8</v>
      </c>
      <c r="AE9" s="1">
        <f t="shared" si="12"/>
        <v>8</v>
      </c>
      <c r="AF9" s="1">
        <f t="shared" si="12"/>
        <v>8</v>
      </c>
      <c r="AG9" s="1">
        <f t="shared" si="12"/>
        <v>8</v>
      </c>
      <c r="AH9" s="1">
        <f t="shared" si="12"/>
        <v>8</v>
      </c>
      <c r="AI9" s="1">
        <f t="shared" si="12"/>
        <v>8</v>
      </c>
      <c r="AJ9" s="1">
        <f t="shared" si="12"/>
        <v>8</v>
      </c>
      <c r="AK9" s="1">
        <f t="shared" si="12"/>
        <v>8</v>
      </c>
      <c r="AL9" s="1">
        <f t="shared" si="12"/>
        <v>8</v>
      </c>
      <c r="AM9" s="29">
        <f t="shared" si="12"/>
        <v>8</v>
      </c>
      <c r="AN9" s="1">
        <f t="shared" si="13"/>
        <v>8</v>
      </c>
      <c r="AO9" s="1">
        <f t="shared" si="13"/>
        <v>8</v>
      </c>
      <c r="AP9" s="47">
        <v>9</v>
      </c>
      <c r="AQ9" s="1">
        <f t="shared" si="13"/>
        <v>8</v>
      </c>
      <c r="AR9" s="1">
        <f t="shared" si="13"/>
        <v>8</v>
      </c>
      <c r="AS9" s="1">
        <f t="shared" si="13"/>
        <v>8</v>
      </c>
      <c r="AT9" s="1">
        <f t="shared" si="13"/>
        <v>8</v>
      </c>
      <c r="AU9" s="1">
        <f t="shared" si="13"/>
        <v>8</v>
      </c>
      <c r="AV9" s="1">
        <f t="shared" si="13"/>
        <v>8</v>
      </c>
      <c r="AW9" s="1">
        <f t="shared" si="13"/>
        <v>8</v>
      </c>
      <c r="AX9" s="1">
        <f t="shared" si="13"/>
        <v>8</v>
      </c>
      <c r="AY9" s="1">
        <f t="shared" si="13"/>
        <v>8</v>
      </c>
      <c r="AZ9" s="1">
        <f t="shared" si="13"/>
        <v>8</v>
      </c>
    </row>
    <row r="10" spans="1:52" x14ac:dyDescent="0.3">
      <c r="B10" s="1" t="s">
        <v>5</v>
      </c>
      <c r="D10" s="1">
        <f ca="1">P9</f>
        <v>8</v>
      </c>
      <c r="E10" s="11">
        <f t="shared" ref="E10:K10" ca="1" si="14">D10*(1+E11)</f>
        <v>8.1999999999999993</v>
      </c>
      <c r="F10" s="11">
        <f t="shared" ca="1" si="14"/>
        <v>8.4049999999999994</v>
      </c>
      <c r="G10" s="11">
        <f t="shared" ca="1" si="14"/>
        <v>8.615124999999999</v>
      </c>
      <c r="H10" s="11">
        <f t="shared" ca="1" si="14"/>
        <v>8.8305031249999981</v>
      </c>
      <c r="I10" s="11">
        <f t="shared" ca="1" si="14"/>
        <v>9.0512657031249972</v>
      </c>
      <c r="J10" s="11">
        <f t="shared" ca="1" si="14"/>
        <v>9.2775473457031215</v>
      </c>
      <c r="K10" s="11">
        <f t="shared" ca="1" si="14"/>
        <v>9.5094860293456982</v>
      </c>
      <c r="L10" s="14">
        <f ca="1">_xlfn.RRI(7,D10,K10)</f>
        <v>2.4999999999999911E-2</v>
      </c>
      <c r="O10" s="1" t="s">
        <v>4</v>
      </c>
      <c r="P10" s="68">
        <f t="shared" ca="1" si="5"/>
        <v>2.5000000000000001E-2</v>
      </c>
      <c r="Q10" s="10">
        <v>2.5000000000000001E-2</v>
      </c>
      <c r="R10" s="10">
        <f t="shared" si="10"/>
        <v>2.5000000000000001E-2</v>
      </c>
      <c r="S10" s="10">
        <v>2.5000000000000001E-2</v>
      </c>
      <c r="T10" s="10"/>
      <c r="U10" s="32"/>
      <c r="V10" s="10">
        <f>Q10</f>
        <v>2.5000000000000001E-2</v>
      </c>
      <c r="W10" s="10">
        <f t="shared" ref="W10:X20" si="15">$V10</f>
        <v>2.5000000000000001E-2</v>
      </c>
      <c r="X10" s="10">
        <f t="shared" si="15"/>
        <v>2.5000000000000001E-2</v>
      </c>
      <c r="Y10" s="10"/>
      <c r="Z10" s="10">
        <f t="shared" si="11"/>
        <v>2.5000000000000001E-2</v>
      </c>
      <c r="AA10" s="41">
        <f t="shared" si="12"/>
        <v>2.5000000000000001E-2</v>
      </c>
      <c r="AB10" s="10">
        <f t="shared" si="12"/>
        <v>2.5000000000000001E-2</v>
      </c>
      <c r="AC10" s="10">
        <f t="shared" si="12"/>
        <v>2.5000000000000001E-2</v>
      </c>
      <c r="AD10" s="49">
        <v>3.5000000000000003E-2</v>
      </c>
      <c r="AE10" s="10">
        <f t="shared" si="12"/>
        <v>2.5000000000000001E-2</v>
      </c>
      <c r="AF10" s="10">
        <f t="shared" si="12"/>
        <v>2.5000000000000001E-2</v>
      </c>
      <c r="AG10" s="10">
        <f t="shared" si="12"/>
        <v>2.5000000000000001E-2</v>
      </c>
      <c r="AH10" s="10">
        <f t="shared" si="12"/>
        <v>2.5000000000000001E-2</v>
      </c>
      <c r="AI10" s="10">
        <f t="shared" si="12"/>
        <v>2.5000000000000001E-2</v>
      </c>
      <c r="AJ10" s="10">
        <f t="shared" si="12"/>
        <v>2.5000000000000001E-2</v>
      </c>
      <c r="AK10" s="10">
        <f t="shared" si="12"/>
        <v>2.5000000000000001E-2</v>
      </c>
      <c r="AL10" s="10">
        <f t="shared" si="12"/>
        <v>2.5000000000000001E-2</v>
      </c>
      <c r="AM10" s="32">
        <f t="shared" si="12"/>
        <v>2.5000000000000001E-2</v>
      </c>
      <c r="AN10" s="10">
        <f t="shared" si="13"/>
        <v>2.5000000000000001E-2</v>
      </c>
      <c r="AO10" s="10">
        <f t="shared" si="13"/>
        <v>2.5000000000000001E-2</v>
      </c>
      <c r="AP10" s="10">
        <f t="shared" si="13"/>
        <v>2.5000000000000001E-2</v>
      </c>
      <c r="AQ10" s="49">
        <v>3.5000000000000003E-2</v>
      </c>
      <c r="AR10" s="10">
        <f t="shared" si="13"/>
        <v>2.5000000000000001E-2</v>
      </c>
      <c r="AS10" s="10">
        <f t="shared" si="13"/>
        <v>2.5000000000000001E-2</v>
      </c>
      <c r="AT10" s="10">
        <f t="shared" si="13"/>
        <v>2.5000000000000001E-2</v>
      </c>
      <c r="AU10" s="10">
        <f t="shared" si="13"/>
        <v>2.5000000000000001E-2</v>
      </c>
      <c r="AV10" s="10">
        <f t="shared" si="13"/>
        <v>2.5000000000000001E-2</v>
      </c>
      <c r="AW10" s="10">
        <f t="shared" si="13"/>
        <v>2.5000000000000001E-2</v>
      </c>
      <c r="AX10" s="10">
        <f t="shared" si="13"/>
        <v>2.5000000000000001E-2</v>
      </c>
      <c r="AY10" s="10">
        <f t="shared" si="13"/>
        <v>2.5000000000000001E-2</v>
      </c>
      <c r="AZ10" s="10">
        <f t="shared" si="13"/>
        <v>2.5000000000000001E-2</v>
      </c>
    </row>
    <row r="11" spans="1:52" ht="14.5" x14ac:dyDescent="0.35">
      <c r="B11" s="6" t="s">
        <v>4</v>
      </c>
      <c r="E11" s="14">
        <f t="shared" ref="E11:K11" ca="1" si="16">$P$10</f>
        <v>2.5000000000000001E-2</v>
      </c>
      <c r="F11" s="14">
        <f t="shared" ca="1" si="16"/>
        <v>2.5000000000000001E-2</v>
      </c>
      <c r="G11" s="14">
        <f t="shared" ca="1" si="16"/>
        <v>2.5000000000000001E-2</v>
      </c>
      <c r="H11" s="14">
        <f t="shared" ca="1" si="16"/>
        <v>2.5000000000000001E-2</v>
      </c>
      <c r="I11" s="14">
        <f t="shared" ca="1" si="16"/>
        <v>2.5000000000000001E-2</v>
      </c>
      <c r="J11" s="14">
        <f t="shared" ca="1" si="16"/>
        <v>2.5000000000000001E-2</v>
      </c>
      <c r="K11" s="14">
        <f t="shared" ca="1" si="16"/>
        <v>2.5000000000000001E-2</v>
      </c>
      <c r="O11" s="1" t="s">
        <v>30</v>
      </c>
      <c r="P11" s="66">
        <f t="shared" ca="1" si="5"/>
        <v>5</v>
      </c>
      <c r="Q11" s="1">
        <v>5</v>
      </c>
      <c r="R11" s="1">
        <f t="shared" si="10"/>
        <v>5</v>
      </c>
      <c r="S11" s="1">
        <f t="shared" si="6"/>
        <v>5</v>
      </c>
      <c r="T11" s="1">
        <f t="shared" si="6"/>
        <v>5</v>
      </c>
      <c r="U11" s="29">
        <f t="shared" si="6"/>
        <v>5</v>
      </c>
      <c r="V11" s="1">
        <v>3</v>
      </c>
      <c r="W11" s="1">
        <f t="shared" si="15"/>
        <v>3</v>
      </c>
      <c r="X11" s="1">
        <f t="shared" si="15"/>
        <v>3</v>
      </c>
      <c r="Y11" s="1">
        <f t="shared" ref="Y11:Y19" si="17">$V11</f>
        <v>3</v>
      </c>
      <c r="Z11" s="1">
        <f t="shared" si="11"/>
        <v>3</v>
      </c>
      <c r="AA11" s="40">
        <f t="shared" si="12"/>
        <v>5</v>
      </c>
      <c r="AB11" s="1">
        <f t="shared" si="12"/>
        <v>5</v>
      </c>
      <c r="AC11" s="1">
        <f t="shared" si="12"/>
        <v>5</v>
      </c>
      <c r="AD11" s="1">
        <f t="shared" si="12"/>
        <v>5</v>
      </c>
      <c r="AE11" s="47">
        <v>6</v>
      </c>
      <c r="AF11" s="1">
        <f t="shared" si="12"/>
        <v>5</v>
      </c>
      <c r="AG11" s="1">
        <f t="shared" si="12"/>
        <v>5</v>
      </c>
      <c r="AH11" s="1">
        <f t="shared" si="12"/>
        <v>5</v>
      </c>
      <c r="AI11" s="1">
        <f t="shared" si="12"/>
        <v>5</v>
      </c>
      <c r="AJ11" s="1">
        <f t="shared" si="12"/>
        <v>5</v>
      </c>
      <c r="AK11" s="1">
        <f t="shared" si="12"/>
        <v>5</v>
      </c>
      <c r="AL11" s="1">
        <f t="shared" si="12"/>
        <v>5</v>
      </c>
      <c r="AM11" s="29">
        <f t="shared" si="12"/>
        <v>5</v>
      </c>
      <c r="AN11" s="1">
        <f t="shared" si="13"/>
        <v>3</v>
      </c>
      <c r="AO11" s="1">
        <f t="shared" si="13"/>
        <v>3</v>
      </c>
      <c r="AP11" s="1">
        <f t="shared" si="13"/>
        <v>3</v>
      </c>
      <c r="AQ11" s="1">
        <f t="shared" si="13"/>
        <v>3</v>
      </c>
      <c r="AR11" s="47">
        <v>4</v>
      </c>
      <c r="AS11" s="1">
        <f t="shared" si="13"/>
        <v>3</v>
      </c>
      <c r="AT11" s="1">
        <f t="shared" si="13"/>
        <v>3</v>
      </c>
      <c r="AU11" s="1">
        <f t="shared" si="13"/>
        <v>3</v>
      </c>
      <c r="AV11" s="1">
        <f t="shared" si="13"/>
        <v>3</v>
      </c>
      <c r="AW11" s="1">
        <f t="shared" si="13"/>
        <v>3</v>
      </c>
      <c r="AX11" s="1">
        <f t="shared" si="13"/>
        <v>3</v>
      </c>
      <c r="AY11" s="1">
        <f t="shared" si="13"/>
        <v>3</v>
      </c>
      <c r="AZ11" s="1">
        <f t="shared" si="13"/>
        <v>3</v>
      </c>
    </row>
    <row r="12" spans="1:52" x14ac:dyDescent="0.3">
      <c r="O12" s="1" t="s">
        <v>32</v>
      </c>
      <c r="P12" s="68">
        <f t="shared" ca="1" si="5"/>
        <v>0.8169642857142857</v>
      </c>
      <c r="Q12" s="13">
        <f>915/Q7</f>
        <v>0.8169642857142857</v>
      </c>
      <c r="R12" s="13">
        <f t="shared" si="10"/>
        <v>0.8169642857142857</v>
      </c>
      <c r="S12" s="13">
        <f t="shared" si="6"/>
        <v>0.8169642857142857</v>
      </c>
      <c r="T12" s="36">
        <f t="shared" si="6"/>
        <v>0.8169642857142857</v>
      </c>
      <c r="U12" s="33">
        <f t="shared" si="6"/>
        <v>0.8169642857142857</v>
      </c>
      <c r="V12" s="13">
        <f>325/V7</f>
        <v>0.29017857142857145</v>
      </c>
      <c r="W12" s="13">
        <f t="shared" si="15"/>
        <v>0.29017857142857145</v>
      </c>
      <c r="X12" s="13">
        <f t="shared" si="15"/>
        <v>0.29017857142857145</v>
      </c>
      <c r="Y12" s="13">
        <f t="shared" si="17"/>
        <v>0.29017857142857145</v>
      </c>
      <c r="Z12" s="36">
        <f t="shared" si="11"/>
        <v>0.29017857142857145</v>
      </c>
      <c r="AA12" s="42">
        <f t="shared" si="12"/>
        <v>0.8169642857142857</v>
      </c>
      <c r="AB12" s="36">
        <f t="shared" si="12"/>
        <v>0.8169642857142857</v>
      </c>
      <c r="AC12" s="36">
        <f t="shared" si="12"/>
        <v>0.8169642857142857</v>
      </c>
      <c r="AD12" s="36">
        <f t="shared" si="12"/>
        <v>0.8169642857142857</v>
      </c>
      <c r="AE12" s="36">
        <f t="shared" si="12"/>
        <v>0.8169642857142857</v>
      </c>
      <c r="AF12" s="50">
        <v>0.81</v>
      </c>
      <c r="AG12" s="36">
        <f t="shared" si="12"/>
        <v>0.8169642857142857</v>
      </c>
      <c r="AH12" s="36">
        <f t="shared" si="12"/>
        <v>0.8169642857142857</v>
      </c>
      <c r="AI12" s="36">
        <f t="shared" si="12"/>
        <v>0.8169642857142857</v>
      </c>
      <c r="AJ12" s="36">
        <f t="shared" si="12"/>
        <v>0.8169642857142857</v>
      </c>
      <c r="AK12" s="36">
        <f t="shared" si="12"/>
        <v>0.8169642857142857</v>
      </c>
      <c r="AL12" s="36">
        <f t="shared" si="12"/>
        <v>0.8169642857142857</v>
      </c>
      <c r="AM12" s="33">
        <f t="shared" si="12"/>
        <v>0.8169642857142857</v>
      </c>
      <c r="AN12" s="36">
        <f t="shared" si="13"/>
        <v>0.29017857142857145</v>
      </c>
      <c r="AO12" s="36">
        <f t="shared" si="13"/>
        <v>0.29017857142857145</v>
      </c>
      <c r="AP12" s="36">
        <f t="shared" si="13"/>
        <v>0.29017857142857145</v>
      </c>
      <c r="AQ12" s="36">
        <f t="shared" si="13"/>
        <v>0.29017857142857145</v>
      </c>
      <c r="AR12" s="36">
        <f t="shared" si="13"/>
        <v>0.29017857142857145</v>
      </c>
      <c r="AS12" s="50">
        <v>0.28000000000000003</v>
      </c>
      <c r="AT12" s="36">
        <f t="shared" si="13"/>
        <v>0.29017857142857145</v>
      </c>
      <c r="AU12" s="36">
        <f t="shared" si="13"/>
        <v>0.29017857142857145</v>
      </c>
      <c r="AV12" s="36">
        <f t="shared" si="13"/>
        <v>0.29017857142857145</v>
      </c>
      <c r="AW12" s="36">
        <f t="shared" si="13"/>
        <v>0.29017857142857145</v>
      </c>
      <c r="AX12" s="36">
        <f t="shared" si="13"/>
        <v>0.29017857142857145</v>
      </c>
      <c r="AY12" s="36">
        <f t="shared" si="13"/>
        <v>0.29017857142857145</v>
      </c>
      <c r="AZ12" s="36">
        <f t="shared" si="13"/>
        <v>0.29017857142857145</v>
      </c>
    </row>
    <row r="13" spans="1:52" x14ac:dyDescent="0.3">
      <c r="B13" s="1" t="s">
        <v>6</v>
      </c>
      <c r="D13" s="1">
        <f ca="1">P11</f>
        <v>5</v>
      </c>
      <c r="E13" s="11">
        <f t="shared" ref="E13:K13" ca="1" si="18">IF(AND($P$22=1,E10&gt;10),10,E10)</f>
        <v>8.1999999999999993</v>
      </c>
      <c r="F13" s="11">
        <f t="shared" ca="1" si="18"/>
        <v>8.4049999999999994</v>
      </c>
      <c r="G13" s="11">
        <f t="shared" ca="1" si="18"/>
        <v>8.615124999999999</v>
      </c>
      <c r="H13" s="11">
        <f t="shared" ca="1" si="18"/>
        <v>8.8305031249999981</v>
      </c>
      <c r="I13" s="11">
        <f t="shared" ca="1" si="18"/>
        <v>9.0512657031249972</v>
      </c>
      <c r="J13" s="11">
        <f t="shared" ca="1" si="18"/>
        <v>9.2775473457031215</v>
      </c>
      <c r="K13" s="11">
        <f t="shared" ca="1" si="18"/>
        <v>9.5094860293456982</v>
      </c>
      <c r="O13" s="1" t="s">
        <v>31</v>
      </c>
      <c r="P13" s="68">
        <f t="shared" ca="1" si="5"/>
        <v>0.81</v>
      </c>
      <c r="Q13" s="9">
        <v>0.81</v>
      </c>
      <c r="R13" s="9">
        <f t="shared" si="10"/>
        <v>0.81</v>
      </c>
      <c r="S13" s="9">
        <f t="shared" si="6"/>
        <v>0.81</v>
      </c>
      <c r="T13" s="9">
        <f t="shared" si="6"/>
        <v>0.81</v>
      </c>
      <c r="U13" s="31">
        <f t="shared" si="6"/>
        <v>0.81</v>
      </c>
      <c r="V13" s="9">
        <v>0.28000000000000003</v>
      </c>
      <c r="W13" s="9">
        <f t="shared" si="15"/>
        <v>0.28000000000000003</v>
      </c>
      <c r="X13" s="9">
        <f t="shared" si="15"/>
        <v>0.28000000000000003</v>
      </c>
      <c r="Y13" s="9">
        <f t="shared" si="17"/>
        <v>0.28000000000000003</v>
      </c>
      <c r="Z13" s="9">
        <f t="shared" si="11"/>
        <v>0.28000000000000003</v>
      </c>
      <c r="AA13" s="39">
        <f t="shared" si="12"/>
        <v>0.81</v>
      </c>
      <c r="AB13" s="9">
        <f t="shared" si="12"/>
        <v>0.81</v>
      </c>
      <c r="AC13" s="9">
        <f t="shared" si="12"/>
        <v>0.81</v>
      </c>
      <c r="AD13" s="9">
        <f t="shared" si="12"/>
        <v>0.81</v>
      </c>
      <c r="AE13" s="9">
        <f t="shared" si="12"/>
        <v>0.81</v>
      </c>
      <c r="AF13" s="9">
        <f t="shared" si="12"/>
        <v>0.81</v>
      </c>
      <c r="AG13" s="48">
        <v>0.8</v>
      </c>
      <c r="AH13" s="9">
        <f t="shared" si="12"/>
        <v>0.81</v>
      </c>
      <c r="AI13" s="9">
        <f t="shared" si="12"/>
        <v>0.81</v>
      </c>
      <c r="AJ13" s="9">
        <f t="shared" si="12"/>
        <v>0.81</v>
      </c>
      <c r="AK13" s="9">
        <f t="shared" si="12"/>
        <v>0.81</v>
      </c>
      <c r="AL13" s="9">
        <f t="shared" si="12"/>
        <v>0.81</v>
      </c>
      <c r="AM13" s="31">
        <f t="shared" si="12"/>
        <v>0.81</v>
      </c>
      <c r="AN13" s="9">
        <f t="shared" si="13"/>
        <v>0.28000000000000003</v>
      </c>
      <c r="AO13" s="9">
        <f t="shared" si="13"/>
        <v>0.28000000000000003</v>
      </c>
      <c r="AP13" s="9">
        <f t="shared" si="13"/>
        <v>0.28000000000000003</v>
      </c>
      <c r="AQ13" s="9">
        <f t="shared" si="13"/>
        <v>0.28000000000000003</v>
      </c>
      <c r="AR13" s="9">
        <f t="shared" si="13"/>
        <v>0.28000000000000003</v>
      </c>
      <c r="AS13" s="9">
        <f t="shared" si="13"/>
        <v>0.28000000000000003</v>
      </c>
      <c r="AT13" s="48">
        <v>0.27</v>
      </c>
      <c r="AU13" s="9">
        <f t="shared" si="13"/>
        <v>0.28000000000000003</v>
      </c>
      <c r="AV13" s="9">
        <f t="shared" si="13"/>
        <v>0.28000000000000003</v>
      </c>
      <c r="AW13" s="9">
        <f t="shared" si="13"/>
        <v>0.28000000000000003</v>
      </c>
      <c r="AX13" s="9">
        <f t="shared" si="13"/>
        <v>0.28000000000000003</v>
      </c>
      <c r="AY13" s="9">
        <f t="shared" si="13"/>
        <v>0.28000000000000003</v>
      </c>
      <c r="AZ13" s="9">
        <f t="shared" si="13"/>
        <v>0.28000000000000003</v>
      </c>
    </row>
    <row r="14" spans="1:52" x14ac:dyDescent="0.3">
      <c r="O14" s="1" t="s">
        <v>10</v>
      </c>
      <c r="P14" s="66">
        <f t="shared" ca="1" si="5"/>
        <v>1200</v>
      </c>
      <c r="Q14" s="1">
        <v>1200</v>
      </c>
      <c r="R14" s="1">
        <f t="shared" si="10"/>
        <v>1200</v>
      </c>
      <c r="S14" s="1">
        <f t="shared" si="6"/>
        <v>1200</v>
      </c>
      <c r="T14" s="1">
        <f t="shared" si="6"/>
        <v>1200</v>
      </c>
      <c r="U14" s="29">
        <f t="shared" si="6"/>
        <v>1200</v>
      </c>
      <c r="V14" s="1">
        <v>5400</v>
      </c>
      <c r="W14" s="1">
        <f t="shared" si="15"/>
        <v>5400</v>
      </c>
      <c r="X14" s="1">
        <f t="shared" si="15"/>
        <v>5400</v>
      </c>
      <c r="Y14" s="1">
        <f t="shared" si="17"/>
        <v>5400</v>
      </c>
      <c r="Z14" s="1">
        <f t="shared" si="11"/>
        <v>5400</v>
      </c>
      <c r="AA14" s="40">
        <f t="shared" si="12"/>
        <v>1200</v>
      </c>
      <c r="AB14" s="1">
        <f t="shared" si="12"/>
        <v>1200</v>
      </c>
      <c r="AC14" s="1">
        <f t="shared" si="12"/>
        <v>1200</v>
      </c>
      <c r="AD14" s="1">
        <f t="shared" si="12"/>
        <v>1200</v>
      </c>
      <c r="AE14" s="1">
        <f t="shared" si="12"/>
        <v>1200</v>
      </c>
      <c r="AF14" s="1">
        <f t="shared" si="12"/>
        <v>1200</v>
      </c>
      <c r="AG14" s="1">
        <f t="shared" si="12"/>
        <v>1200</v>
      </c>
      <c r="AH14" s="47">
        <v>1250</v>
      </c>
      <c r="AI14" s="1">
        <f t="shared" si="12"/>
        <v>1200</v>
      </c>
      <c r="AJ14" s="1">
        <f t="shared" si="12"/>
        <v>1200</v>
      </c>
      <c r="AK14" s="1">
        <f t="shared" si="12"/>
        <v>1200</v>
      </c>
      <c r="AL14" s="1">
        <f t="shared" si="12"/>
        <v>1200</v>
      </c>
      <c r="AM14" s="29">
        <f t="shared" si="12"/>
        <v>1200</v>
      </c>
      <c r="AN14" s="1">
        <f t="shared" si="13"/>
        <v>5400</v>
      </c>
      <c r="AO14" s="1">
        <f t="shared" si="13"/>
        <v>5400</v>
      </c>
      <c r="AP14" s="1">
        <f t="shared" si="13"/>
        <v>5400</v>
      </c>
      <c r="AQ14" s="1">
        <f t="shared" si="13"/>
        <v>5400</v>
      </c>
      <c r="AR14" s="1">
        <f t="shared" si="13"/>
        <v>5400</v>
      </c>
      <c r="AS14" s="1">
        <f t="shared" si="13"/>
        <v>5400</v>
      </c>
      <c r="AT14" s="1">
        <f t="shared" si="13"/>
        <v>5400</v>
      </c>
      <c r="AU14" s="47">
        <v>5450</v>
      </c>
      <c r="AV14" s="1">
        <f t="shared" si="13"/>
        <v>5400</v>
      </c>
      <c r="AW14" s="1">
        <f t="shared" si="13"/>
        <v>5400</v>
      </c>
      <c r="AX14" s="1">
        <f t="shared" si="13"/>
        <v>5400</v>
      </c>
      <c r="AY14" s="1">
        <f t="shared" si="13"/>
        <v>5400</v>
      </c>
      <c r="AZ14" s="1">
        <f t="shared" si="13"/>
        <v>5400</v>
      </c>
    </row>
    <row r="15" spans="1:52" x14ac:dyDescent="0.3">
      <c r="B15" s="55" t="s">
        <v>7</v>
      </c>
      <c r="C15" s="64"/>
      <c r="D15" s="65">
        <f t="shared" ref="D15:K15" ca="1" si="19">D7*D13</f>
        <v>5600</v>
      </c>
      <c r="E15" s="65">
        <f t="shared" ca="1" si="19"/>
        <v>9367.68</v>
      </c>
      <c r="F15" s="65">
        <f t="shared" ca="1" si="19"/>
        <v>9793.9094399999994</v>
      </c>
      <c r="G15" s="65">
        <f t="shared" ca="1" si="19"/>
        <v>10239.532319519998</v>
      </c>
      <c r="H15" s="65">
        <f t="shared" ca="1" si="19"/>
        <v>10705.431040058158</v>
      </c>
      <c r="I15" s="65">
        <f t="shared" ca="1" si="19"/>
        <v>11192.528152380804</v>
      </c>
      <c r="J15" s="65">
        <f t="shared" ca="1" si="19"/>
        <v>11701.788183314129</v>
      </c>
      <c r="K15" s="65">
        <f t="shared" ca="1" si="19"/>
        <v>12234.219545654922</v>
      </c>
      <c r="L15" s="14">
        <f ca="1">_xlfn.RRI(7,D15,K15)</f>
        <v>0.11810872045582244</v>
      </c>
      <c r="O15" s="1" t="s">
        <v>4</v>
      </c>
      <c r="P15" s="68">
        <f t="shared" ca="1" si="5"/>
        <v>2.5000000000000001E-2</v>
      </c>
      <c r="Q15" s="10">
        <v>2.5000000000000001E-2</v>
      </c>
      <c r="R15" s="10">
        <f t="shared" si="10"/>
        <v>2.5000000000000001E-2</v>
      </c>
      <c r="S15" s="10">
        <f t="shared" si="6"/>
        <v>2.5000000000000001E-2</v>
      </c>
      <c r="T15" s="10">
        <f t="shared" si="6"/>
        <v>2.5000000000000001E-2</v>
      </c>
      <c r="U15" s="32">
        <f t="shared" si="6"/>
        <v>2.5000000000000001E-2</v>
      </c>
      <c r="V15" s="10">
        <v>2.5000000000000001E-2</v>
      </c>
      <c r="W15" s="10">
        <f t="shared" si="15"/>
        <v>2.5000000000000001E-2</v>
      </c>
      <c r="X15" s="10">
        <f t="shared" si="15"/>
        <v>2.5000000000000001E-2</v>
      </c>
      <c r="Y15" s="10">
        <f t="shared" si="17"/>
        <v>2.5000000000000001E-2</v>
      </c>
      <c r="Z15" s="10">
        <f t="shared" si="11"/>
        <v>2.5000000000000001E-2</v>
      </c>
      <c r="AA15" s="41">
        <f t="shared" si="12"/>
        <v>2.5000000000000001E-2</v>
      </c>
      <c r="AB15" s="10">
        <f t="shared" si="12"/>
        <v>2.5000000000000001E-2</v>
      </c>
      <c r="AC15" s="10">
        <f t="shared" si="12"/>
        <v>2.5000000000000001E-2</v>
      </c>
      <c r="AD15" s="10">
        <f t="shared" si="12"/>
        <v>2.5000000000000001E-2</v>
      </c>
      <c r="AE15" s="10">
        <f t="shared" si="12"/>
        <v>2.5000000000000001E-2</v>
      </c>
      <c r="AF15" s="10">
        <f t="shared" si="12"/>
        <v>2.5000000000000001E-2</v>
      </c>
      <c r="AG15" s="10">
        <f t="shared" si="12"/>
        <v>2.5000000000000001E-2</v>
      </c>
      <c r="AH15" s="10">
        <f t="shared" si="12"/>
        <v>2.5000000000000001E-2</v>
      </c>
      <c r="AI15" s="49">
        <v>3.5000000000000003E-2</v>
      </c>
      <c r="AJ15" s="10">
        <f t="shared" si="12"/>
        <v>2.5000000000000001E-2</v>
      </c>
      <c r="AK15" s="10">
        <f t="shared" si="12"/>
        <v>2.5000000000000001E-2</v>
      </c>
      <c r="AL15" s="10">
        <f t="shared" si="12"/>
        <v>2.5000000000000001E-2</v>
      </c>
      <c r="AM15" s="32">
        <f t="shared" si="12"/>
        <v>2.5000000000000001E-2</v>
      </c>
      <c r="AN15" s="10">
        <f t="shared" si="13"/>
        <v>2.5000000000000001E-2</v>
      </c>
      <c r="AO15" s="10">
        <f t="shared" si="13"/>
        <v>2.5000000000000001E-2</v>
      </c>
      <c r="AP15" s="10">
        <f t="shared" si="13"/>
        <v>2.5000000000000001E-2</v>
      </c>
      <c r="AQ15" s="10">
        <f t="shared" si="13"/>
        <v>2.5000000000000001E-2</v>
      </c>
      <c r="AR15" s="10">
        <f t="shared" si="13"/>
        <v>2.5000000000000001E-2</v>
      </c>
      <c r="AS15" s="10">
        <f t="shared" si="13"/>
        <v>2.5000000000000001E-2</v>
      </c>
      <c r="AT15" s="10">
        <f t="shared" si="13"/>
        <v>2.5000000000000001E-2</v>
      </c>
      <c r="AU15" s="10">
        <f t="shared" si="13"/>
        <v>2.5000000000000001E-2</v>
      </c>
      <c r="AV15" s="49">
        <v>3.5000000000000003E-2</v>
      </c>
      <c r="AW15" s="10">
        <f t="shared" si="13"/>
        <v>2.5000000000000001E-2</v>
      </c>
      <c r="AX15" s="10">
        <f t="shared" si="13"/>
        <v>2.5000000000000001E-2</v>
      </c>
      <c r="AY15" s="10">
        <f t="shared" si="13"/>
        <v>2.5000000000000001E-2</v>
      </c>
      <c r="AZ15" s="10">
        <f t="shared" si="13"/>
        <v>2.5000000000000001E-2</v>
      </c>
    </row>
    <row r="16" spans="1:52" ht="14.5" x14ac:dyDescent="0.35">
      <c r="B16" s="6" t="s">
        <v>4</v>
      </c>
      <c r="E16" s="14">
        <f t="shared" ref="E16:K16" ca="1" si="20">E15/D15-1</f>
        <v>0.67280000000000006</v>
      </c>
      <c r="F16" s="14">
        <f t="shared" ca="1" si="20"/>
        <v>4.5499999999999874E-2</v>
      </c>
      <c r="G16" s="14">
        <f t="shared" ca="1" si="20"/>
        <v>4.5499999999999874E-2</v>
      </c>
      <c r="H16" s="14">
        <f t="shared" ca="1" si="20"/>
        <v>4.5500000000000096E-2</v>
      </c>
      <c r="I16" s="14">
        <f t="shared" ca="1" si="20"/>
        <v>4.5500000000000096E-2</v>
      </c>
      <c r="J16" s="14">
        <f t="shared" ca="1" si="20"/>
        <v>4.5499999999999874E-2</v>
      </c>
      <c r="K16" s="14">
        <f t="shared" ca="1" si="20"/>
        <v>4.5499999999999874E-2</v>
      </c>
      <c r="O16" s="1" t="s">
        <v>17</v>
      </c>
      <c r="P16" s="66">
        <f t="shared" ca="1" si="5"/>
        <v>1000</v>
      </c>
      <c r="Q16" s="1">
        <v>1000</v>
      </c>
      <c r="R16" s="1">
        <f t="shared" si="10"/>
        <v>1000</v>
      </c>
      <c r="S16" s="1">
        <f t="shared" si="6"/>
        <v>1000</v>
      </c>
      <c r="T16" s="1">
        <f t="shared" si="6"/>
        <v>1000</v>
      </c>
      <c r="U16" s="29">
        <f t="shared" si="6"/>
        <v>1000</v>
      </c>
      <c r="V16" s="1">
        <v>5000</v>
      </c>
      <c r="W16" s="1">
        <f t="shared" si="15"/>
        <v>5000</v>
      </c>
      <c r="X16" s="1">
        <f t="shared" si="15"/>
        <v>5000</v>
      </c>
      <c r="Y16" s="1">
        <f t="shared" si="17"/>
        <v>5000</v>
      </c>
      <c r="Z16" s="1">
        <f t="shared" si="11"/>
        <v>5000</v>
      </c>
      <c r="AA16" s="40">
        <f t="shared" si="12"/>
        <v>1000</v>
      </c>
      <c r="AB16" s="1">
        <f t="shared" si="12"/>
        <v>1000</v>
      </c>
      <c r="AC16" s="1">
        <f t="shared" si="12"/>
        <v>1000</v>
      </c>
      <c r="AD16" s="1">
        <f t="shared" si="12"/>
        <v>1000</v>
      </c>
      <c r="AE16" s="1">
        <f t="shared" si="12"/>
        <v>1000</v>
      </c>
      <c r="AF16" s="1">
        <f t="shared" si="12"/>
        <v>1000</v>
      </c>
      <c r="AG16" s="1">
        <f t="shared" si="12"/>
        <v>1000</v>
      </c>
      <c r="AH16" s="1">
        <f t="shared" si="12"/>
        <v>1000</v>
      </c>
      <c r="AI16" s="1">
        <f t="shared" si="12"/>
        <v>1000</v>
      </c>
      <c r="AJ16" s="47">
        <v>1050</v>
      </c>
      <c r="AK16" s="1">
        <f t="shared" si="12"/>
        <v>1000</v>
      </c>
      <c r="AL16" s="1">
        <f t="shared" si="12"/>
        <v>1000</v>
      </c>
      <c r="AM16" s="29">
        <f t="shared" si="12"/>
        <v>1000</v>
      </c>
      <c r="AN16" s="1">
        <f t="shared" si="13"/>
        <v>5000</v>
      </c>
      <c r="AO16" s="1">
        <f t="shared" si="13"/>
        <v>5000</v>
      </c>
      <c r="AP16" s="1">
        <f t="shared" si="13"/>
        <v>5000</v>
      </c>
      <c r="AQ16" s="1">
        <f t="shared" si="13"/>
        <v>5000</v>
      </c>
      <c r="AR16" s="1">
        <f t="shared" si="13"/>
        <v>5000</v>
      </c>
      <c r="AS16" s="1">
        <f t="shared" si="13"/>
        <v>5000</v>
      </c>
      <c r="AT16" s="1">
        <f t="shared" si="13"/>
        <v>5000</v>
      </c>
      <c r="AU16" s="1">
        <f t="shared" si="13"/>
        <v>5000</v>
      </c>
      <c r="AV16" s="1">
        <f t="shared" si="13"/>
        <v>5000</v>
      </c>
      <c r="AW16" s="47">
        <v>5050</v>
      </c>
      <c r="AX16" s="1">
        <f t="shared" si="13"/>
        <v>5000</v>
      </c>
      <c r="AY16" s="1">
        <f t="shared" si="13"/>
        <v>5000</v>
      </c>
      <c r="AZ16" s="1">
        <f t="shared" si="13"/>
        <v>5000</v>
      </c>
    </row>
    <row r="17" spans="2:52" x14ac:dyDescent="0.3">
      <c r="O17" s="1" t="s">
        <v>18</v>
      </c>
      <c r="P17" s="68">
        <f t="shared" ca="1" si="5"/>
        <v>0.05</v>
      </c>
      <c r="Q17" s="9">
        <v>0.05</v>
      </c>
      <c r="R17" s="9">
        <f t="shared" si="10"/>
        <v>0.05</v>
      </c>
      <c r="S17" s="9">
        <f t="shared" si="6"/>
        <v>0.05</v>
      </c>
      <c r="T17" s="9">
        <f t="shared" si="6"/>
        <v>0.05</v>
      </c>
      <c r="U17" s="31">
        <f t="shared" si="6"/>
        <v>0.05</v>
      </c>
      <c r="V17" s="9">
        <v>0.09</v>
      </c>
      <c r="W17" s="9">
        <f t="shared" si="15"/>
        <v>0.09</v>
      </c>
      <c r="X17" s="9">
        <f t="shared" si="15"/>
        <v>0.09</v>
      </c>
      <c r="Y17" s="9">
        <f t="shared" si="17"/>
        <v>0.09</v>
      </c>
      <c r="Z17" s="9">
        <f t="shared" si="11"/>
        <v>0.09</v>
      </c>
      <c r="AA17" s="39">
        <f t="shared" si="12"/>
        <v>0.05</v>
      </c>
      <c r="AB17" s="9">
        <f t="shared" si="12"/>
        <v>0.05</v>
      </c>
      <c r="AC17" s="9">
        <f t="shared" si="12"/>
        <v>0.05</v>
      </c>
      <c r="AD17" s="9">
        <f t="shared" si="12"/>
        <v>0.05</v>
      </c>
      <c r="AE17" s="9">
        <f t="shared" si="12"/>
        <v>0.05</v>
      </c>
      <c r="AF17" s="9">
        <f t="shared" si="12"/>
        <v>0.05</v>
      </c>
      <c r="AG17" s="9">
        <f t="shared" si="12"/>
        <v>0.05</v>
      </c>
      <c r="AH17" s="9">
        <f t="shared" si="12"/>
        <v>0.05</v>
      </c>
      <c r="AI17" s="9">
        <f t="shared" si="12"/>
        <v>0.05</v>
      </c>
      <c r="AJ17" s="9">
        <f t="shared" si="12"/>
        <v>0.05</v>
      </c>
      <c r="AK17" s="48">
        <v>0.06</v>
      </c>
      <c r="AL17" s="9">
        <f t="shared" si="12"/>
        <v>0.05</v>
      </c>
      <c r="AM17" s="31">
        <f t="shared" si="12"/>
        <v>0.05</v>
      </c>
      <c r="AN17" s="9">
        <f t="shared" si="13"/>
        <v>0.09</v>
      </c>
      <c r="AO17" s="9">
        <f t="shared" si="13"/>
        <v>0.09</v>
      </c>
      <c r="AP17" s="9">
        <f t="shared" si="13"/>
        <v>0.09</v>
      </c>
      <c r="AQ17" s="9">
        <f t="shared" si="13"/>
        <v>0.09</v>
      </c>
      <c r="AR17" s="9">
        <f t="shared" si="13"/>
        <v>0.09</v>
      </c>
      <c r="AS17" s="9">
        <f t="shared" si="13"/>
        <v>0.09</v>
      </c>
      <c r="AT17" s="9">
        <f t="shared" si="13"/>
        <v>0.09</v>
      </c>
      <c r="AU17" s="9">
        <f t="shared" si="13"/>
        <v>0.09</v>
      </c>
      <c r="AV17" s="9">
        <f t="shared" si="13"/>
        <v>0.09</v>
      </c>
      <c r="AW17" s="9">
        <f t="shared" si="13"/>
        <v>0.09</v>
      </c>
      <c r="AX17" s="48">
        <v>0.1</v>
      </c>
      <c r="AY17" s="9">
        <f t="shared" si="13"/>
        <v>0.09</v>
      </c>
      <c r="AZ17" s="9">
        <f t="shared" si="13"/>
        <v>0.09</v>
      </c>
    </row>
    <row r="18" spans="2:52" x14ac:dyDescent="0.3">
      <c r="B18" s="16" t="s">
        <v>8</v>
      </c>
      <c r="C18" s="16"/>
      <c r="D18" s="16"/>
      <c r="E18" s="16"/>
      <c r="F18" s="16"/>
      <c r="G18" s="16"/>
      <c r="H18" s="16"/>
      <c r="I18" s="16"/>
      <c r="J18" s="16"/>
      <c r="K18" s="16"/>
      <c r="O18" s="1" t="s">
        <v>34</v>
      </c>
      <c r="P18" s="66">
        <f ca="1">OFFSET(P18,,$P$5)</f>
        <v>100</v>
      </c>
      <c r="Q18" s="1">
        <v>100</v>
      </c>
      <c r="R18" s="1">
        <f t="shared" si="10"/>
        <v>100</v>
      </c>
      <c r="S18" s="1">
        <f t="shared" si="6"/>
        <v>100</v>
      </c>
      <c r="T18" s="1">
        <f t="shared" si="6"/>
        <v>100</v>
      </c>
      <c r="U18" s="29">
        <f t="shared" si="6"/>
        <v>100</v>
      </c>
      <c r="V18" s="1">
        <v>800</v>
      </c>
      <c r="W18" s="1">
        <f t="shared" si="15"/>
        <v>800</v>
      </c>
      <c r="X18" s="1">
        <f t="shared" si="15"/>
        <v>800</v>
      </c>
      <c r="Y18" s="1">
        <f t="shared" si="17"/>
        <v>800</v>
      </c>
      <c r="Z18" s="1">
        <f t="shared" si="11"/>
        <v>800</v>
      </c>
      <c r="AA18" s="40">
        <f t="shared" si="12"/>
        <v>100</v>
      </c>
      <c r="AB18" s="1">
        <f t="shared" si="12"/>
        <v>100</v>
      </c>
      <c r="AC18" s="1">
        <f t="shared" si="12"/>
        <v>100</v>
      </c>
      <c r="AD18" s="1">
        <f t="shared" si="12"/>
        <v>100</v>
      </c>
      <c r="AE18" s="1">
        <f t="shared" si="12"/>
        <v>100</v>
      </c>
      <c r="AF18" s="1">
        <f t="shared" si="12"/>
        <v>100</v>
      </c>
      <c r="AG18" s="1">
        <f t="shared" si="12"/>
        <v>100</v>
      </c>
      <c r="AH18" s="1">
        <f t="shared" si="12"/>
        <v>100</v>
      </c>
      <c r="AI18" s="1">
        <f t="shared" si="12"/>
        <v>100</v>
      </c>
      <c r="AJ18" s="1">
        <f t="shared" si="12"/>
        <v>100</v>
      </c>
      <c r="AK18" s="1">
        <f t="shared" si="12"/>
        <v>100</v>
      </c>
      <c r="AL18" s="47">
        <v>1050</v>
      </c>
      <c r="AM18" s="29">
        <f t="shared" si="12"/>
        <v>100</v>
      </c>
      <c r="AN18" s="1">
        <f t="shared" si="13"/>
        <v>800</v>
      </c>
      <c r="AO18" s="1">
        <f t="shared" si="13"/>
        <v>800</v>
      </c>
      <c r="AP18" s="1">
        <f t="shared" si="13"/>
        <v>800</v>
      </c>
      <c r="AQ18" s="1">
        <f t="shared" si="13"/>
        <v>800</v>
      </c>
      <c r="AR18" s="1">
        <f t="shared" si="13"/>
        <v>800</v>
      </c>
      <c r="AS18" s="1">
        <f t="shared" si="13"/>
        <v>800</v>
      </c>
      <c r="AT18" s="1">
        <f t="shared" si="13"/>
        <v>800</v>
      </c>
      <c r="AU18" s="1">
        <f t="shared" si="13"/>
        <v>800</v>
      </c>
      <c r="AV18" s="1">
        <f t="shared" si="13"/>
        <v>800</v>
      </c>
      <c r="AW18" s="1">
        <f t="shared" si="13"/>
        <v>800</v>
      </c>
      <c r="AX18" s="1">
        <f t="shared" si="13"/>
        <v>800</v>
      </c>
      <c r="AY18" s="47">
        <v>850</v>
      </c>
      <c r="AZ18" s="1">
        <f t="shared" si="13"/>
        <v>800</v>
      </c>
    </row>
    <row r="19" spans="2:52" x14ac:dyDescent="0.3">
      <c r="B19" s="1" t="s">
        <v>9</v>
      </c>
      <c r="D19" s="17">
        <f ca="1">D47*-D15</f>
        <v>-4575</v>
      </c>
      <c r="E19" s="17">
        <f t="shared" ref="E19:K19" ca="1" si="21">E47*-E15</f>
        <v>-7643.7401142857152</v>
      </c>
      <c r="F19" s="17">
        <f t="shared" ca="1" si="21"/>
        <v>-7981.7863489714291</v>
      </c>
      <c r="G19" s="17">
        <f t="shared" ca="1" si="21"/>
        <v>-8334.7703380419425</v>
      </c>
      <c r="H19" s="17">
        <f t="shared" ca="1" si="21"/>
        <v>-8703.351576928917</v>
      </c>
      <c r="I19" s="17">
        <f t="shared" ca="1" si="21"/>
        <v>-9088.2186502622735</v>
      </c>
      <c r="J19" s="17">
        <f t="shared" ca="1" si="21"/>
        <v>-9490.090513666828</v>
      </c>
      <c r="K19" s="17">
        <f t="shared" ca="1" si="21"/>
        <v>-9909.717831980488</v>
      </c>
      <c r="O19" s="1" t="s">
        <v>33</v>
      </c>
      <c r="P19" s="68">
        <f ca="1">OFFSET(P19,,$P$5)</f>
        <v>0.1</v>
      </c>
      <c r="Q19" s="9">
        <v>0.1</v>
      </c>
      <c r="R19" s="9">
        <f t="shared" si="10"/>
        <v>0.1</v>
      </c>
      <c r="S19" s="9">
        <f t="shared" si="6"/>
        <v>0.1</v>
      </c>
      <c r="T19" s="9">
        <f t="shared" si="6"/>
        <v>0.1</v>
      </c>
      <c r="U19" s="31">
        <f t="shared" si="6"/>
        <v>0.1</v>
      </c>
      <c r="V19" s="9">
        <f>Q19</f>
        <v>0.1</v>
      </c>
      <c r="W19" s="9">
        <f t="shared" si="15"/>
        <v>0.1</v>
      </c>
      <c r="X19" s="9">
        <f t="shared" si="15"/>
        <v>0.1</v>
      </c>
      <c r="Y19" s="9">
        <f t="shared" si="17"/>
        <v>0.1</v>
      </c>
      <c r="Z19" s="9">
        <f t="shared" si="11"/>
        <v>0.1</v>
      </c>
      <c r="AA19" s="39">
        <f t="shared" si="12"/>
        <v>0.1</v>
      </c>
      <c r="AB19" s="9">
        <f t="shared" si="12"/>
        <v>0.1</v>
      </c>
      <c r="AC19" s="9">
        <f t="shared" si="12"/>
        <v>0.1</v>
      </c>
      <c r="AD19" s="9">
        <f t="shared" si="12"/>
        <v>0.1</v>
      </c>
      <c r="AE19" s="9">
        <f t="shared" si="12"/>
        <v>0.1</v>
      </c>
      <c r="AF19" s="9">
        <f t="shared" si="12"/>
        <v>0.1</v>
      </c>
      <c r="AG19" s="9">
        <f t="shared" si="12"/>
        <v>0.1</v>
      </c>
      <c r="AH19" s="9">
        <f t="shared" si="12"/>
        <v>0.1</v>
      </c>
      <c r="AI19" s="9">
        <f t="shared" si="12"/>
        <v>0.1</v>
      </c>
      <c r="AJ19" s="9">
        <f t="shared" si="12"/>
        <v>0.1</v>
      </c>
      <c r="AK19" s="9">
        <f t="shared" si="12"/>
        <v>0.1</v>
      </c>
      <c r="AL19" s="9">
        <f t="shared" si="12"/>
        <v>0.1</v>
      </c>
      <c r="AM19" s="44">
        <v>0.11</v>
      </c>
      <c r="AN19" s="9">
        <f t="shared" si="13"/>
        <v>0.1</v>
      </c>
      <c r="AO19" s="9">
        <f t="shared" si="13"/>
        <v>0.1</v>
      </c>
      <c r="AP19" s="9">
        <f t="shared" si="13"/>
        <v>0.1</v>
      </c>
      <c r="AQ19" s="9">
        <f t="shared" si="13"/>
        <v>0.1</v>
      </c>
      <c r="AR19" s="9">
        <f t="shared" si="13"/>
        <v>0.1</v>
      </c>
      <c r="AS19" s="9">
        <f t="shared" si="13"/>
        <v>0.1</v>
      </c>
      <c r="AT19" s="9">
        <f t="shared" si="13"/>
        <v>0.1</v>
      </c>
      <c r="AU19" s="9">
        <f t="shared" si="13"/>
        <v>0.1</v>
      </c>
      <c r="AV19" s="9">
        <f t="shared" si="13"/>
        <v>0.1</v>
      </c>
      <c r="AW19" s="9">
        <f t="shared" si="13"/>
        <v>0.1</v>
      </c>
      <c r="AX19" s="9">
        <f t="shared" si="13"/>
        <v>0.1</v>
      </c>
      <c r="AY19" s="9">
        <f t="shared" si="13"/>
        <v>0.1</v>
      </c>
      <c r="AZ19" s="48">
        <v>0.11</v>
      </c>
    </row>
    <row r="20" spans="2:52" x14ac:dyDescent="0.3">
      <c r="B20" s="1" t="s">
        <v>10</v>
      </c>
      <c r="D20" s="12">
        <f ca="1">-P14/2</f>
        <v>-600</v>
      </c>
      <c r="E20" s="17">
        <f ca="1">D20*2*(1+$P$15)</f>
        <v>-1230</v>
      </c>
      <c r="F20" s="17">
        <f ca="1">E20*(1+$P$15)</f>
        <v>-1260.75</v>
      </c>
      <c r="G20" s="17">
        <f t="shared" ref="G20:K20" ca="1" si="22">F20*(1+$P$15)</f>
        <v>-1292.26875</v>
      </c>
      <c r="H20" s="17">
        <f t="shared" ca="1" si="22"/>
        <v>-1324.5754687499998</v>
      </c>
      <c r="I20" s="17">
        <f t="shared" ca="1" si="22"/>
        <v>-1357.6898554687498</v>
      </c>
      <c r="J20" s="17">
        <f t="shared" ca="1" si="22"/>
        <v>-1391.6321018554684</v>
      </c>
      <c r="K20" s="17">
        <f t="shared" ca="1" si="22"/>
        <v>-1426.422904401855</v>
      </c>
      <c r="O20" s="1" t="s">
        <v>47</v>
      </c>
      <c r="P20" s="66">
        <f ca="1">OFFSET(P20,,$P$5)</f>
        <v>0</v>
      </c>
      <c r="Q20" s="1">
        <v>0</v>
      </c>
      <c r="R20" s="12">
        <f t="shared" si="10"/>
        <v>0</v>
      </c>
      <c r="S20" s="12">
        <f t="shared" si="6"/>
        <v>0</v>
      </c>
      <c r="T20" s="1">
        <v>800</v>
      </c>
      <c r="U20" s="29">
        <v>0</v>
      </c>
      <c r="V20" s="12">
        <v>0</v>
      </c>
      <c r="W20" s="12">
        <f t="shared" si="15"/>
        <v>0</v>
      </c>
      <c r="X20" s="12">
        <f t="shared" si="15"/>
        <v>0</v>
      </c>
      <c r="Y20" s="12">
        <v>4000</v>
      </c>
      <c r="Z20" s="38">
        <f t="shared" si="11"/>
        <v>0</v>
      </c>
      <c r="AA20" s="43">
        <f t="shared" si="12"/>
        <v>0</v>
      </c>
      <c r="AM20" s="29"/>
    </row>
    <row r="21" spans="2:52" x14ac:dyDescent="0.3">
      <c r="B21" s="62" t="s">
        <v>11</v>
      </c>
      <c r="C21" s="62"/>
      <c r="D21" s="63">
        <f ca="1">SUM(D19:D20)</f>
        <v>-5175</v>
      </c>
      <c r="E21" s="63">
        <f t="shared" ref="E21:K21" ca="1" si="23">SUM(E19:E20)</f>
        <v>-8873.7401142857161</v>
      </c>
      <c r="F21" s="63">
        <f t="shared" ca="1" si="23"/>
        <v>-9242.5363489714291</v>
      </c>
      <c r="G21" s="63">
        <f t="shared" ca="1" si="23"/>
        <v>-9627.0390880419418</v>
      </c>
      <c r="H21" s="63">
        <f t="shared" ca="1" si="23"/>
        <v>-10027.927045678916</v>
      </c>
      <c r="I21" s="63">
        <f t="shared" ca="1" si="23"/>
        <v>-10445.908505731024</v>
      </c>
      <c r="J21" s="63">
        <f t="shared" ca="1" si="23"/>
        <v>-10881.722615522296</v>
      </c>
      <c r="K21" s="63">
        <f t="shared" ca="1" si="23"/>
        <v>-11336.140736382344</v>
      </c>
      <c r="O21" s="1" t="s">
        <v>46</v>
      </c>
      <c r="P21" s="66">
        <f ca="1">OFFSET(P21,,$P$5)</f>
        <v>0</v>
      </c>
      <c r="Q21" s="1">
        <v>0</v>
      </c>
      <c r="R21" s="1">
        <v>0</v>
      </c>
      <c r="S21" s="1">
        <v>0</v>
      </c>
      <c r="T21" s="1">
        <v>1</v>
      </c>
      <c r="U21" s="29">
        <v>0</v>
      </c>
      <c r="V21" s="1">
        <v>0</v>
      </c>
      <c r="W21" s="1">
        <v>0</v>
      </c>
      <c r="X21" s="1">
        <v>0</v>
      </c>
      <c r="Y21" s="1">
        <v>1</v>
      </c>
      <c r="Z21" s="1">
        <f t="shared" si="11"/>
        <v>0</v>
      </c>
      <c r="AA21" s="40">
        <f t="shared" si="12"/>
        <v>0</v>
      </c>
      <c r="AM21" s="29"/>
    </row>
    <row r="22" spans="2:52" ht="14.5" thickBot="1" x14ac:dyDescent="0.35">
      <c r="B22" s="22" t="s">
        <v>12</v>
      </c>
      <c r="C22" s="22"/>
      <c r="D22" s="23">
        <f ca="1">D15+D21</f>
        <v>425</v>
      </c>
      <c r="E22" s="23">
        <f t="shared" ref="E22:K22" ca="1" si="24">E15+E21</f>
        <v>493.93988571428417</v>
      </c>
      <c r="F22" s="23">
        <f t="shared" ca="1" si="24"/>
        <v>551.37309102857034</v>
      </c>
      <c r="G22" s="23">
        <f t="shared" ca="1" si="24"/>
        <v>612.49323147805626</v>
      </c>
      <c r="H22" s="23">
        <f t="shared" ca="1" si="24"/>
        <v>677.5039943792417</v>
      </c>
      <c r="I22" s="23">
        <f t="shared" ca="1" si="24"/>
        <v>746.61964664978041</v>
      </c>
      <c r="J22" s="23">
        <f t="shared" ca="1" si="24"/>
        <v>820.06556779183302</v>
      </c>
      <c r="K22" s="23">
        <f t="shared" ca="1" si="24"/>
        <v>898.07880927257793</v>
      </c>
      <c r="L22" s="14"/>
      <c r="O22" s="1" t="s">
        <v>35</v>
      </c>
      <c r="P22" s="66">
        <f ca="1">OFFSET(P22,,$P$5)</f>
        <v>1</v>
      </c>
      <c r="Q22" s="1">
        <v>1</v>
      </c>
      <c r="R22" s="1">
        <v>1</v>
      </c>
      <c r="S22" s="1">
        <v>1</v>
      </c>
      <c r="T22" s="1">
        <v>1</v>
      </c>
      <c r="U22" s="29">
        <v>1</v>
      </c>
      <c r="V22" s="1">
        <v>0</v>
      </c>
      <c r="W22" s="1">
        <v>0</v>
      </c>
      <c r="X22" s="1">
        <v>0</v>
      </c>
      <c r="Y22" s="1">
        <v>0</v>
      </c>
      <c r="Z22" s="1">
        <f t="shared" si="11"/>
        <v>0</v>
      </c>
      <c r="AA22" s="40">
        <f t="shared" si="12"/>
        <v>1</v>
      </c>
      <c r="AB22" s="1">
        <f t="shared" si="12"/>
        <v>1</v>
      </c>
      <c r="AC22" s="1">
        <f t="shared" si="12"/>
        <v>1</v>
      </c>
      <c r="AD22" s="1">
        <f t="shared" si="12"/>
        <v>1</v>
      </c>
      <c r="AE22" s="1">
        <f t="shared" si="12"/>
        <v>1</v>
      </c>
      <c r="AF22" s="1">
        <f t="shared" si="12"/>
        <v>1</v>
      </c>
      <c r="AG22" s="1">
        <f t="shared" si="12"/>
        <v>1</v>
      </c>
      <c r="AH22" s="1">
        <f t="shared" si="12"/>
        <v>1</v>
      </c>
      <c r="AI22" s="1">
        <f t="shared" si="12"/>
        <v>1</v>
      </c>
      <c r="AJ22" s="1">
        <f t="shared" si="12"/>
        <v>1</v>
      </c>
      <c r="AK22" s="1">
        <f t="shared" si="12"/>
        <v>1</v>
      </c>
      <c r="AL22" s="1">
        <f t="shared" si="12"/>
        <v>1</v>
      </c>
      <c r="AM22" s="29">
        <f t="shared" si="12"/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</row>
    <row r="23" spans="2:52" x14ac:dyDescent="0.3">
      <c r="B23" s="5" t="s">
        <v>14</v>
      </c>
      <c r="D23" s="14">
        <f ca="1">D22/D15</f>
        <v>7.5892857142857137E-2</v>
      </c>
      <c r="E23" s="14">
        <f t="shared" ref="E23:G23" ca="1" si="25">E22/E15</f>
        <v>5.2728091236494433E-2</v>
      </c>
      <c r="F23" s="14">
        <f t="shared" ca="1" si="25"/>
        <v>5.6297548431137052E-2</v>
      </c>
      <c r="G23" s="14">
        <f t="shared" ca="1" si="25"/>
        <v>5.9816524072143197E-2</v>
      </c>
      <c r="H23" s="14">
        <f t="shared" ref="H23" ca="1" si="26">H22/H15</f>
        <v>6.3286007993897747E-2</v>
      </c>
      <c r="I23" s="14">
        <f t="shared" ref="I23" ca="1" si="27">I22/I15</f>
        <v>6.6706970622268588E-2</v>
      </c>
      <c r="J23" s="14">
        <f t="shared" ref="J23" ca="1" si="28">J22/J15</f>
        <v>7.0080363355165237E-2</v>
      </c>
      <c r="K23" s="14">
        <f t="shared" ref="K23" ca="1" si="29">K22/K15</f>
        <v>7.3407118935636367E-2</v>
      </c>
      <c r="O23" s="1" t="s">
        <v>39</v>
      </c>
      <c r="P23" s="9">
        <f ca="1">C38</f>
        <v>0.29949731215483544</v>
      </c>
      <c r="Q23" s="9">
        <f>Q28</f>
        <v>0.29949731215483544</v>
      </c>
      <c r="R23" s="9">
        <f t="shared" ref="R23:T23" si="30">R28</f>
        <v>0.40926666960512059</v>
      </c>
      <c r="S23" s="9">
        <f t="shared" si="30"/>
        <v>6.5301752129261814E-2</v>
      </c>
      <c r="T23" s="9">
        <f t="shared" si="30"/>
        <v>9.0594771078393199E-2</v>
      </c>
      <c r="U23" s="44">
        <v>0.02</v>
      </c>
      <c r="V23" s="59">
        <f>V28</f>
        <v>0.11600819037831123</v>
      </c>
      <c r="W23" s="59">
        <f t="shared" ref="W23:Z23" si="31">W28</f>
        <v>0.28254046741722627</v>
      </c>
      <c r="X23" s="59">
        <f t="shared" si="31"/>
        <v>-0.19396306928512319</v>
      </c>
      <c r="Y23" s="59">
        <f t="shared" si="31"/>
        <v>-0.20595661676065957</v>
      </c>
      <c r="Z23" s="59">
        <f t="shared" si="31"/>
        <v>0.41252188943688739</v>
      </c>
      <c r="AM23" s="29"/>
    </row>
    <row r="24" spans="2:52" x14ac:dyDescent="0.3">
      <c r="B24" s="5" t="s">
        <v>4</v>
      </c>
      <c r="E24" s="14">
        <f ca="1">E22/D22-1</f>
        <v>0.16221149579831562</v>
      </c>
      <c r="F24" s="14">
        <f t="shared" ref="F24:K24" ca="1" si="32">F22/E22-1</f>
        <v>0.11627569867380183</v>
      </c>
      <c r="G24" s="14">
        <f t="shared" ca="1" si="32"/>
        <v>0.11085078587253516</v>
      </c>
      <c r="H24" s="14">
        <f t="shared" ca="1" si="32"/>
        <v>0.10614119399214061</v>
      </c>
      <c r="I24" s="14">
        <f t="shared" ca="1" si="32"/>
        <v>0.10201512145159453</v>
      </c>
      <c r="J24" s="14">
        <f t="shared" ca="1" si="32"/>
        <v>9.8371267715252175E-2</v>
      </c>
      <c r="K24" s="14">
        <f t="shared" ca="1" si="32"/>
        <v>9.5130492663908495E-2</v>
      </c>
      <c r="O24" s="1" t="s">
        <v>43</v>
      </c>
      <c r="P24" s="12">
        <f ca="1">C39</f>
        <v>1328.5532103910377</v>
      </c>
      <c r="Q24" s="12">
        <f t="shared" ref="Q24:T25" si="33">Q29</f>
        <v>1328.5532103910377</v>
      </c>
      <c r="R24" s="12">
        <f t="shared" si="33"/>
        <v>2149.8261382991027</v>
      </c>
      <c r="S24" s="12">
        <f t="shared" si="33"/>
        <v>-180.30977136188937</v>
      </c>
      <c r="T24" s="12">
        <f t="shared" si="33"/>
        <v>-16.471546635183358</v>
      </c>
      <c r="U24" s="45">
        <v>-190</v>
      </c>
      <c r="V24" s="12">
        <f t="shared" ref="V24:Z25" si="34">V29</f>
        <v>460.78248480411185</v>
      </c>
      <c r="W24" s="12">
        <f t="shared" si="34"/>
        <v>6231.8498199977257</v>
      </c>
      <c r="X24" s="12">
        <f t="shared" si="34"/>
        <v>-6263.5561088871982</v>
      </c>
      <c r="Y24" s="12">
        <f t="shared" si="34"/>
        <v>-2550.72160566706</v>
      </c>
      <c r="Z24" s="12">
        <f t="shared" si="34"/>
        <v>12002.917155191331</v>
      </c>
      <c r="AM24" s="29"/>
    </row>
    <row r="25" spans="2:52" x14ac:dyDescent="0.3">
      <c r="O25" s="1" t="s">
        <v>41</v>
      </c>
      <c r="P25" s="35">
        <f ca="1">C40</f>
        <v>6</v>
      </c>
      <c r="Q25" s="35">
        <f t="shared" si="33"/>
        <v>6</v>
      </c>
      <c r="R25" s="35">
        <f t="shared" si="33"/>
        <v>5</v>
      </c>
      <c r="S25" s="35" t="str">
        <f t="shared" si="33"/>
        <v>N/A</v>
      </c>
      <c r="T25" s="35" t="str">
        <f t="shared" si="33"/>
        <v>N/A</v>
      </c>
      <c r="U25" s="46" t="s">
        <v>48</v>
      </c>
      <c r="V25" s="60" t="str">
        <f t="shared" si="34"/>
        <v>N/A</v>
      </c>
      <c r="W25" s="60">
        <f t="shared" si="34"/>
        <v>6</v>
      </c>
      <c r="X25" s="60" t="str">
        <f t="shared" si="34"/>
        <v>N/A</v>
      </c>
      <c r="Y25" s="60" t="str">
        <f t="shared" si="34"/>
        <v>N/A</v>
      </c>
      <c r="Z25" s="60">
        <f t="shared" si="34"/>
        <v>5</v>
      </c>
      <c r="AM25" s="29"/>
    </row>
    <row r="26" spans="2:52" x14ac:dyDescent="0.3">
      <c r="B26" s="18" t="s">
        <v>15</v>
      </c>
      <c r="AM26" s="29"/>
    </row>
    <row r="27" spans="2:52" x14ac:dyDescent="0.3">
      <c r="B27" s="16" t="s">
        <v>12</v>
      </c>
      <c r="C27" s="16">
        <f>C22</f>
        <v>0</v>
      </c>
      <c r="D27" s="19">
        <f ca="1">D22</f>
        <v>425</v>
      </c>
      <c r="E27" s="19">
        <f t="shared" ref="E27:K27" ca="1" si="35">E22</f>
        <v>493.93988571428417</v>
      </c>
      <c r="F27" s="19">
        <f t="shared" ca="1" si="35"/>
        <v>551.37309102857034</v>
      </c>
      <c r="G27" s="19">
        <f t="shared" ca="1" si="35"/>
        <v>612.49323147805626</v>
      </c>
      <c r="H27" s="19">
        <f t="shared" ca="1" si="35"/>
        <v>677.5039943792417</v>
      </c>
      <c r="I27" s="19">
        <f t="shared" ca="1" si="35"/>
        <v>746.61964664978041</v>
      </c>
      <c r="J27" s="19">
        <f t="shared" ca="1" si="35"/>
        <v>820.06556779183302</v>
      </c>
      <c r="K27" s="19">
        <f t="shared" ca="1" si="35"/>
        <v>898.07880927257793</v>
      </c>
      <c r="P27" s="1">
        <v>1</v>
      </c>
      <c r="Q27" s="1">
        <v>1</v>
      </c>
      <c r="R27" s="1">
        <f t="shared" ref="R27:AZ27" si="36">Q27+1</f>
        <v>2</v>
      </c>
      <c r="S27" s="1">
        <f t="shared" si="36"/>
        <v>3</v>
      </c>
      <c r="T27" s="1">
        <f t="shared" si="36"/>
        <v>4</v>
      </c>
      <c r="U27" s="1">
        <f t="shared" si="36"/>
        <v>5</v>
      </c>
      <c r="V27" s="1">
        <f t="shared" si="36"/>
        <v>6</v>
      </c>
      <c r="W27" s="1">
        <f t="shared" si="36"/>
        <v>7</v>
      </c>
      <c r="X27" s="1">
        <f t="shared" si="36"/>
        <v>8</v>
      </c>
      <c r="Y27" s="1">
        <f t="shared" si="36"/>
        <v>9</v>
      </c>
      <c r="Z27" s="1">
        <f t="shared" si="36"/>
        <v>10</v>
      </c>
      <c r="AA27" s="1">
        <f t="shared" si="36"/>
        <v>11</v>
      </c>
      <c r="AB27" s="1">
        <f t="shared" si="36"/>
        <v>12</v>
      </c>
      <c r="AC27" s="1">
        <f t="shared" si="36"/>
        <v>13</v>
      </c>
      <c r="AD27" s="1">
        <f t="shared" si="36"/>
        <v>14</v>
      </c>
      <c r="AE27" s="1">
        <f t="shared" si="36"/>
        <v>15</v>
      </c>
      <c r="AF27" s="1">
        <f t="shared" si="36"/>
        <v>16</v>
      </c>
      <c r="AG27" s="1">
        <f t="shared" si="36"/>
        <v>17</v>
      </c>
      <c r="AH27" s="1">
        <f t="shared" si="36"/>
        <v>18</v>
      </c>
      <c r="AI27" s="1">
        <f t="shared" si="36"/>
        <v>19</v>
      </c>
      <c r="AJ27" s="1">
        <f t="shared" si="36"/>
        <v>20</v>
      </c>
      <c r="AK27" s="1">
        <f t="shared" si="36"/>
        <v>21</v>
      </c>
      <c r="AL27" s="1">
        <f t="shared" si="36"/>
        <v>22</v>
      </c>
      <c r="AM27" s="1">
        <f t="shared" si="36"/>
        <v>23</v>
      </c>
      <c r="AN27" s="1">
        <f t="shared" si="36"/>
        <v>24</v>
      </c>
      <c r="AO27" s="1">
        <f t="shared" si="36"/>
        <v>25</v>
      </c>
      <c r="AP27" s="1">
        <f t="shared" si="36"/>
        <v>26</v>
      </c>
      <c r="AQ27" s="1">
        <f t="shared" si="36"/>
        <v>27</v>
      </c>
      <c r="AR27" s="1">
        <f t="shared" si="36"/>
        <v>28</v>
      </c>
      <c r="AS27" s="1">
        <f t="shared" si="36"/>
        <v>29</v>
      </c>
      <c r="AT27" s="1">
        <f t="shared" si="36"/>
        <v>30</v>
      </c>
      <c r="AU27" s="1">
        <f t="shared" si="36"/>
        <v>31</v>
      </c>
      <c r="AV27" s="1">
        <f t="shared" si="36"/>
        <v>32</v>
      </c>
      <c r="AW27" s="1">
        <f t="shared" si="36"/>
        <v>33</v>
      </c>
      <c r="AX27" s="1">
        <f t="shared" si="36"/>
        <v>34</v>
      </c>
      <c r="AY27" s="1">
        <f t="shared" si="36"/>
        <v>35</v>
      </c>
      <c r="AZ27" s="1">
        <f t="shared" si="36"/>
        <v>36</v>
      </c>
    </row>
    <row r="28" spans="2:52" x14ac:dyDescent="0.3">
      <c r="B28" s="1" t="s">
        <v>16</v>
      </c>
      <c r="D28" s="12">
        <f ca="1">-MAX(SUM(D27+D50)*30%,0)</f>
        <v>-73.5</v>
      </c>
      <c r="E28" s="12">
        <f t="shared" ref="E28:K28" ca="1" si="37">-MAX(SUM(E27+E50)*30%,0)</f>
        <v>-103.18196571428525</v>
      </c>
      <c r="F28" s="12">
        <f t="shared" ca="1" si="37"/>
        <v>-129.41192730857111</v>
      </c>
      <c r="G28" s="12">
        <f t="shared" ca="1" si="37"/>
        <v>-153.74796944341688</v>
      </c>
      <c r="H28" s="12">
        <f t="shared" ca="1" si="37"/>
        <v>-179.25119831377251</v>
      </c>
      <c r="I28" s="12">
        <f t="shared" ca="1" si="37"/>
        <v>-202.98589399493412</v>
      </c>
      <c r="J28" s="12">
        <f t="shared" ca="1" si="37"/>
        <v>-229.51967033754991</v>
      </c>
      <c r="K28" s="12">
        <f t="shared" ca="1" si="37"/>
        <v>-255.92364278177337</v>
      </c>
      <c r="O28" s="1" t="str">
        <f>O23</f>
        <v>IRR</v>
      </c>
      <c r="P28" s="9">
        <f ca="1">P23</f>
        <v>0.29949731215483544</v>
      </c>
      <c r="Q28" s="9">
        <f t="dataTable" ref="Q28:AZ30" dt2D="0" dtr="1" r1="P5" ca="1"/>
        <v>0.29949731215483544</v>
      </c>
      <c r="R28" s="9">
        <v>0.40926666960512059</v>
      </c>
      <c r="S28" s="9">
        <v>6.5301752129261814E-2</v>
      </c>
      <c r="T28" s="9">
        <v>9.0594771078393199E-2</v>
      </c>
      <c r="U28" s="9">
        <v>-4.8844427267189627E-2</v>
      </c>
      <c r="V28" s="9">
        <v>0.11600819037831123</v>
      </c>
      <c r="W28" s="9">
        <v>0.28254046741722627</v>
      </c>
      <c r="X28" s="9">
        <v>-0.19396306928512319</v>
      </c>
      <c r="Y28" s="9">
        <v>-0.20595661676065957</v>
      </c>
      <c r="Z28" s="9">
        <v>0.41252188943688739</v>
      </c>
      <c r="AA28" s="9">
        <v>0.33787763987684127</v>
      </c>
      <c r="AB28" s="9">
        <v>0.32213868134996093</v>
      </c>
      <c r="AC28" s="9">
        <v>0.37870607572891135</v>
      </c>
      <c r="AD28" s="9">
        <v>0.32110339144860345</v>
      </c>
      <c r="AE28" s="9">
        <v>0.32864629680314694</v>
      </c>
      <c r="AF28" s="9">
        <v>0.32205612901944081</v>
      </c>
      <c r="AG28" s="9">
        <v>0.31843793139917476</v>
      </c>
      <c r="AH28" s="9">
        <v>0.27296537148167532</v>
      </c>
      <c r="AI28" s="9">
        <v>0.28243477763929903</v>
      </c>
      <c r="AJ28" s="9">
        <v>0.28755722207761258</v>
      </c>
      <c r="AK28" s="9">
        <v>0.28413459710195066</v>
      </c>
      <c r="AL28" s="9">
        <v>0.32871272016412911</v>
      </c>
      <c r="AM28" s="9">
        <v>0.29949731215483544</v>
      </c>
      <c r="AN28" s="9">
        <v>0.15357245483836057</v>
      </c>
      <c r="AO28" s="9">
        <v>0.14396128256088758</v>
      </c>
      <c r="AP28" s="9">
        <v>0.20574684735874738</v>
      </c>
      <c r="AQ28" s="9">
        <v>0.14382973022328982</v>
      </c>
      <c r="AR28" s="9">
        <v>0.14341732443232558</v>
      </c>
      <c r="AS28" s="9">
        <v>0.12246613986042321</v>
      </c>
      <c r="AT28" s="9">
        <v>0.12192839773290554</v>
      </c>
      <c r="AU28" s="9">
        <v>0.10935567570642735</v>
      </c>
      <c r="AV28" s="9">
        <v>9.2145944913483824E-2</v>
      </c>
      <c r="AW28" s="9">
        <v>0.11440356162228227</v>
      </c>
      <c r="AX28" s="9">
        <v>0.11444169831946827</v>
      </c>
      <c r="AY28" s="9">
        <v>0.11676783522843648</v>
      </c>
      <c r="AZ28" s="9">
        <v>0.11600819037831123</v>
      </c>
    </row>
    <row r="29" spans="2:52" x14ac:dyDescent="0.3">
      <c r="B29" s="1" t="s">
        <v>17</v>
      </c>
      <c r="C29" s="12">
        <f ca="1">-P16</f>
        <v>-1000</v>
      </c>
      <c r="O29" s="1" t="str">
        <f t="shared" ref="O29:P30" si="38">O24</f>
        <v xml:space="preserve">NPV </v>
      </c>
      <c r="P29" s="12">
        <f t="shared" ca="1" si="38"/>
        <v>1328.5532103910377</v>
      </c>
      <c r="Q29" s="12">
        <v>1328.5532103910377</v>
      </c>
      <c r="R29" s="12">
        <v>2149.8261382991027</v>
      </c>
      <c r="S29" s="12">
        <v>-180.30977136188937</v>
      </c>
      <c r="T29" s="12">
        <v>-16.471546635183358</v>
      </c>
      <c r="U29" s="12">
        <v>-629.9906086614842</v>
      </c>
      <c r="V29" s="12">
        <v>460.78248480411185</v>
      </c>
      <c r="W29" s="12">
        <v>6231.8498199977257</v>
      </c>
      <c r="X29" s="12">
        <v>-6263.5561088871982</v>
      </c>
      <c r="Y29" s="12">
        <v>-2550.72160566706</v>
      </c>
      <c r="Z29" s="12">
        <v>12002.917155191331</v>
      </c>
      <c r="AA29" s="12">
        <v>1621.3537625951903</v>
      </c>
      <c r="AB29" s="12">
        <v>1555.6670047162679</v>
      </c>
      <c r="AC29" s="12">
        <v>1961.6655189957241</v>
      </c>
      <c r="AD29" s="12">
        <v>1540.3108448295739</v>
      </c>
      <c r="AE29" s="12">
        <v>1454.3796566720289</v>
      </c>
      <c r="AF29" s="12">
        <v>1457.6964927179943</v>
      </c>
      <c r="AG29" s="12">
        <v>1506.1519829600056</v>
      </c>
      <c r="AH29" s="12">
        <v>1143.0461417202027</v>
      </c>
      <c r="AI29" s="12">
        <v>1178.124926756223</v>
      </c>
      <c r="AJ29" s="12">
        <v>1287.3201979458941</v>
      </c>
      <c r="AK29" s="12">
        <v>1286.5942747336953</v>
      </c>
      <c r="AL29" s="12">
        <v>1771.7352215902838</v>
      </c>
      <c r="AM29" s="12">
        <v>1216.7252575620009</v>
      </c>
      <c r="AN29" s="12">
        <v>1587.0083519210339</v>
      </c>
      <c r="AO29" s="12">
        <v>1339.9803341273973</v>
      </c>
      <c r="AP29" s="12">
        <v>3346.3161524009192</v>
      </c>
      <c r="AQ29" s="12">
        <v>1335.6104426361881</v>
      </c>
      <c r="AR29" s="12">
        <v>1175.1791790189873</v>
      </c>
      <c r="AS29" s="12">
        <v>644.34854079245633</v>
      </c>
      <c r="AT29" s="12">
        <v>638.38125737307837</v>
      </c>
      <c r="AU29" s="12">
        <v>268.45723431509214</v>
      </c>
      <c r="AV29" s="12">
        <v>-216.14479155256595</v>
      </c>
      <c r="AW29" s="12">
        <v>417.09492690442312</v>
      </c>
      <c r="AX29" s="12">
        <v>420.67478881619081</v>
      </c>
      <c r="AY29" s="12">
        <v>484.10785381459755</v>
      </c>
      <c r="AZ29" s="12">
        <v>167.1830363714198</v>
      </c>
    </row>
    <row r="30" spans="2:52" x14ac:dyDescent="0.3">
      <c r="B30" s="1" t="s">
        <v>18</v>
      </c>
      <c r="D30" s="17">
        <f ca="1">-D51</f>
        <v>-280</v>
      </c>
      <c r="E30" s="17">
        <f ca="1">-(E51-D51)</f>
        <v>-188.38400000000001</v>
      </c>
      <c r="F30" s="17">
        <f t="shared" ref="F30:K30" ca="1" si="39">-(F51-E51)</f>
        <v>-21.311471999999981</v>
      </c>
      <c r="G30" s="17">
        <f t="shared" ca="1" si="39"/>
        <v>-22.281143975999953</v>
      </c>
      <c r="H30" s="17">
        <f t="shared" ca="1" si="39"/>
        <v>-23.294936026907976</v>
      </c>
      <c r="I30" s="17">
        <f t="shared" ca="1" si="39"/>
        <v>-24.35485561613234</v>
      </c>
      <c r="J30" s="17">
        <f t="shared" ca="1" si="39"/>
        <v>-25.463001546666192</v>
      </c>
      <c r="K30" s="17">
        <f t="shared" ca="1" si="39"/>
        <v>-26.621568117039601</v>
      </c>
      <c r="O30" s="1" t="str">
        <f t="shared" si="38"/>
        <v>Payback Period</v>
      </c>
      <c r="P30" s="12">
        <f t="shared" ca="1" si="38"/>
        <v>6</v>
      </c>
      <c r="Q30" s="37">
        <v>6</v>
      </c>
      <c r="R30" s="37">
        <v>5</v>
      </c>
      <c r="S30" s="37" t="str">
        <v>N/A</v>
      </c>
      <c r="T30" s="37" t="str">
        <v>N/A</v>
      </c>
      <c r="U30" s="37" t="str">
        <v>N/A</v>
      </c>
      <c r="V30" s="37" t="str">
        <v>N/A</v>
      </c>
      <c r="W30" s="37">
        <v>6</v>
      </c>
      <c r="X30" s="37" t="str">
        <v>N/A</v>
      </c>
      <c r="Y30" s="37" t="str">
        <v>N/A</v>
      </c>
      <c r="Z30" s="37">
        <v>5</v>
      </c>
      <c r="AA30" s="37">
        <v>6</v>
      </c>
      <c r="AB30" s="37">
        <v>6</v>
      </c>
      <c r="AC30" s="37">
        <v>5</v>
      </c>
      <c r="AD30" s="37">
        <v>6</v>
      </c>
      <c r="AE30" s="37">
        <v>6</v>
      </c>
      <c r="AF30" s="37">
        <v>6</v>
      </c>
      <c r="AG30" s="37">
        <v>6</v>
      </c>
      <c r="AH30" s="37">
        <v>7</v>
      </c>
      <c r="AI30" s="37">
        <v>7</v>
      </c>
      <c r="AJ30" s="37">
        <v>6</v>
      </c>
      <c r="AK30" s="37">
        <v>7</v>
      </c>
      <c r="AL30" s="37">
        <v>6</v>
      </c>
      <c r="AM30" s="37">
        <v>6</v>
      </c>
      <c r="AN30" s="37">
        <v>8</v>
      </c>
      <c r="AO30" s="37">
        <v>8</v>
      </c>
      <c r="AP30" s="37">
        <v>7</v>
      </c>
      <c r="AQ30" s="37">
        <v>8</v>
      </c>
      <c r="AR30" s="37">
        <v>8</v>
      </c>
      <c r="AS30" s="37">
        <v>8</v>
      </c>
      <c r="AT30" s="37">
        <v>8</v>
      </c>
      <c r="AU30" s="37" t="str">
        <v>N/A</v>
      </c>
      <c r="AV30" s="37" t="str">
        <v>N/A</v>
      </c>
      <c r="AW30" s="37" t="str">
        <v>N/A</v>
      </c>
      <c r="AX30" s="37" t="str">
        <v>N/A</v>
      </c>
      <c r="AY30" s="37" t="str">
        <v>N/A</v>
      </c>
      <c r="AZ30" s="37" t="str">
        <v>N/A</v>
      </c>
    </row>
    <row r="31" spans="2:52" x14ac:dyDescent="0.3">
      <c r="B31" s="1" t="s">
        <v>19</v>
      </c>
      <c r="E31" s="15">
        <f ca="1">IF(E32&gt;0,E51,0)</f>
        <v>0</v>
      </c>
      <c r="K31" s="17">
        <f ca="1">$P$18+K51</f>
        <v>711.71097728274606</v>
      </c>
      <c r="AA31" s="13">
        <f>ABS(AA28-$Q$28)</f>
        <v>3.8380327722005836E-2</v>
      </c>
      <c r="AB31" s="13">
        <f t="shared" ref="AB31:AL31" si="40">ABS(AB28-$Q$28)</f>
        <v>2.2641369195125494E-2</v>
      </c>
      <c r="AC31" s="13">
        <f t="shared" si="40"/>
        <v>7.9208763574075913E-2</v>
      </c>
      <c r="AD31" s="13">
        <f t="shared" si="40"/>
        <v>2.160607929376801E-2</v>
      </c>
      <c r="AE31" s="13">
        <f t="shared" si="40"/>
        <v>2.9148984648311504E-2</v>
      </c>
      <c r="AF31" s="13">
        <f t="shared" si="40"/>
        <v>2.2558816864605369E-2</v>
      </c>
      <c r="AG31" s="13">
        <f t="shared" si="40"/>
        <v>1.8940619244339318E-2</v>
      </c>
      <c r="AH31" s="13">
        <f t="shared" si="40"/>
        <v>2.6531940673160115E-2</v>
      </c>
      <c r="AI31" s="13">
        <f t="shared" si="40"/>
        <v>1.7062534515536409E-2</v>
      </c>
      <c r="AJ31" s="13">
        <f t="shared" si="40"/>
        <v>1.1940090077222854E-2</v>
      </c>
      <c r="AK31" s="13">
        <f t="shared" si="40"/>
        <v>1.5362715052884779E-2</v>
      </c>
      <c r="AL31" s="13">
        <f t="shared" si="40"/>
        <v>2.9215408009293675E-2</v>
      </c>
      <c r="AM31" s="14">
        <f>ABS(AM29-$Q$29)/10000</f>
        <v>1.118279528290368E-2</v>
      </c>
      <c r="AN31" s="13">
        <f>ABS(AN28-$V$28)</f>
        <v>3.7564264460049346E-2</v>
      </c>
      <c r="AO31" s="13">
        <f t="shared" ref="AO31:AY31" si="41">ABS(AO28-$V$28)</f>
        <v>2.7953092182576356E-2</v>
      </c>
      <c r="AP31" s="13">
        <f t="shared" si="41"/>
        <v>8.9738656980436149E-2</v>
      </c>
      <c r="AQ31" s="13">
        <f t="shared" si="41"/>
        <v>2.7821539844978593E-2</v>
      </c>
      <c r="AR31" s="13">
        <f t="shared" si="41"/>
        <v>2.740913405401435E-2</v>
      </c>
      <c r="AS31" s="13">
        <f t="shared" si="41"/>
        <v>6.4579494821119798E-3</v>
      </c>
      <c r="AT31" s="13">
        <f t="shared" si="41"/>
        <v>5.920207354594309E-3</v>
      </c>
      <c r="AU31" s="13">
        <f t="shared" si="41"/>
        <v>6.6525146718838801E-3</v>
      </c>
      <c r="AV31" s="13">
        <f t="shared" si="41"/>
        <v>2.3862245464827403E-2</v>
      </c>
      <c r="AW31" s="13">
        <f t="shared" si="41"/>
        <v>1.6046287560289585E-3</v>
      </c>
      <c r="AX31" s="13">
        <f t="shared" si="41"/>
        <v>1.5664920588429609E-3</v>
      </c>
      <c r="AY31" s="13">
        <f t="shared" si="41"/>
        <v>7.5964485012525174E-4</v>
      </c>
      <c r="AZ31" s="14">
        <f>ABS(AZ29-$V$29)/10000</f>
        <v>2.9359944843269203E-2</v>
      </c>
    </row>
    <row r="32" spans="2:52" x14ac:dyDescent="0.3">
      <c r="B32" s="1" t="s">
        <v>28</v>
      </c>
      <c r="E32" s="1">
        <f ca="1">$P$20</f>
        <v>0</v>
      </c>
      <c r="K32" s="17"/>
    </row>
    <row r="33" spans="2:19" ht="17" x14ac:dyDescent="0.6">
      <c r="B33" s="55" t="s">
        <v>20</v>
      </c>
      <c r="C33" s="56">
        <f ca="1">SUM(C27:C32)</f>
        <v>-1000</v>
      </c>
      <c r="D33" s="56">
        <f ca="1">SUM(D27:D32)</f>
        <v>71.5</v>
      </c>
      <c r="E33" s="56">
        <f ca="1">SUM(E27:E32)</f>
        <v>202.37391999999892</v>
      </c>
      <c r="F33" s="56">
        <f ca="1">IF($P$21=1,0,SUM(F27:F32))</f>
        <v>400.64969171999928</v>
      </c>
      <c r="G33" s="56">
        <f t="shared" ref="G33:K33" ca="1" si="42">IF($P$21=1,0,SUM(G27:G32))</f>
        <v>436.46411805863943</v>
      </c>
      <c r="H33" s="56">
        <f t="shared" ca="1" si="42"/>
        <v>474.95786003856119</v>
      </c>
      <c r="I33" s="56">
        <f t="shared" ca="1" si="42"/>
        <v>519.27889703871392</v>
      </c>
      <c r="J33" s="56">
        <f t="shared" ca="1" si="42"/>
        <v>565.08289590761694</v>
      </c>
      <c r="K33" s="56">
        <f t="shared" ca="1" si="42"/>
        <v>1327.244575656511</v>
      </c>
      <c r="O33" s="51" t="s">
        <v>51</v>
      </c>
      <c r="P33" s="51" t="s">
        <v>24</v>
      </c>
      <c r="Q33" s="51" t="s">
        <v>52</v>
      </c>
      <c r="R33" s="61" t="s">
        <v>53</v>
      </c>
      <c r="S33" s="61"/>
    </row>
    <row r="34" spans="2:19" x14ac:dyDescent="0.3">
      <c r="D34" s="17">
        <f ca="1">SUM($C$33:D33)</f>
        <v>-928.5</v>
      </c>
      <c r="E34" s="17">
        <f ca="1">SUM($C$33:E33)</f>
        <v>-726.12608000000114</v>
      </c>
      <c r="F34" s="17">
        <f ca="1">SUM($C$33:F33)</f>
        <v>-325.47638828000186</v>
      </c>
      <c r="G34" s="17">
        <f ca="1">SUM($C$33:G33)</f>
        <v>110.98772977863757</v>
      </c>
      <c r="H34" s="17">
        <f ca="1">SUM($C$33:H33)</f>
        <v>585.94558981719877</v>
      </c>
      <c r="I34" s="17">
        <f ca="1">SUM($C$33:I33)</f>
        <v>1105.2244868559128</v>
      </c>
      <c r="J34" s="17">
        <f ca="1">SUM($C$33:J33)</f>
        <v>1670.3073827635299</v>
      </c>
      <c r="K34" s="17">
        <f ca="1">SUM($C$33:K33)</f>
        <v>2997.551958420041</v>
      </c>
      <c r="O34" s="1" t="str">
        <f>O7</f>
        <v>Price Per Unit</v>
      </c>
      <c r="P34" s="1">
        <f>Q7</f>
        <v>1120</v>
      </c>
      <c r="Q34" s="1">
        <v>50</v>
      </c>
      <c r="R34" s="13" cm="1">
        <f t="array" ref="R34:R46">TRANSPOSE(AA31:AM31)</f>
        <v>3.8380327722005836E-2</v>
      </c>
      <c r="S34" s="52" t="str">
        <f>REPT("|",R34*750)</f>
        <v>||||||||||||||||||||||||||||</v>
      </c>
    </row>
    <row r="35" spans="2:19" x14ac:dyDescent="0.3">
      <c r="D35" s="1" cm="1">
        <f t="array" aca="1" ref="D35" ca="1">IF(AND(D34&gt;-$C$33,$B$35:C35=0),D2,0)</f>
        <v>0</v>
      </c>
      <c r="E35" s="1" cm="1">
        <f t="array" aca="1" ref="E35" ca="1">IF(AND(E34&gt;-$C$33,$B$35:D35=0),E2,0)</f>
        <v>0</v>
      </c>
      <c r="F35" s="1" cm="1">
        <f t="array" aca="1" ref="F35" ca="1">IF(AND(F34&gt;-$C$33,$B$35:E35=0),F2,0)</f>
        <v>0</v>
      </c>
      <c r="G35" s="1" cm="1">
        <f t="array" aca="1" ref="G35" ca="1">IF(AND(G34&gt;-$C$33,$B$35:F35=0),G2,0)</f>
        <v>0</v>
      </c>
      <c r="H35" s="1" cm="1">
        <f t="array" aca="1" ref="H35" ca="1">IF(AND(H34&gt;-$C$33,$B$35:G35=0),H2,0)</f>
        <v>0</v>
      </c>
      <c r="I35" s="1" cm="1">
        <f t="array" aca="1" ref="I35" ca="1">IF(AND(I34&gt;-$C$33,$B$35:H35=0),I2,0)</f>
        <v>6</v>
      </c>
      <c r="J35" s="1" cm="1">
        <f t="array" aca="1" ref="J35" ca="1">IF(AND(J34&gt;-$C$33,$B$35:I35=0),J2,0)</f>
        <v>0</v>
      </c>
      <c r="K35" s="1" cm="1">
        <f t="array" aca="1" ref="K35" ca="1">IF(AND(K34&gt;-$C$33,$B$35:J35=0),K2,0)</f>
        <v>0</v>
      </c>
      <c r="O35" s="1" t="str">
        <f t="shared" ref="O35:O46" si="43">O8</f>
        <v>Growth %</v>
      </c>
      <c r="P35" s="9">
        <f t="shared" ref="P35:P46" si="44">Q8</f>
        <v>0.02</v>
      </c>
      <c r="Q35" s="9">
        <v>0.01</v>
      </c>
      <c r="R35" s="13">
        <v>2.2641369195125494E-2</v>
      </c>
      <c r="S35" s="52" t="str">
        <f t="shared" ref="S35:S46" si="45">REPT("|",R35*750)</f>
        <v>||||||||||||||||</v>
      </c>
    </row>
    <row r="36" spans="2:19" x14ac:dyDescent="0.3">
      <c r="O36" s="1" t="str">
        <f t="shared" si="43"/>
        <v>Market Demand</v>
      </c>
      <c r="P36" s="1">
        <f t="shared" si="44"/>
        <v>8</v>
      </c>
      <c r="Q36" s="1">
        <v>1</v>
      </c>
      <c r="R36" s="13">
        <v>7.9208763574075913E-2</v>
      </c>
      <c r="S36" s="52" t="str">
        <f t="shared" si="45"/>
        <v>|||||||||||||||||||||||||||||||||||||||||||||||||||||||||||</v>
      </c>
    </row>
    <row r="37" spans="2:19" x14ac:dyDescent="0.3">
      <c r="O37" s="1" t="str">
        <f t="shared" si="43"/>
        <v>Growth %</v>
      </c>
      <c r="P37" s="10">
        <f t="shared" si="44"/>
        <v>2.5000000000000001E-2</v>
      </c>
      <c r="Q37" s="9">
        <v>0.01</v>
      </c>
      <c r="R37" s="13">
        <v>2.160607929376801E-2</v>
      </c>
      <c r="S37" s="52" t="str">
        <f t="shared" si="45"/>
        <v>||||||||||||||||</v>
      </c>
    </row>
    <row r="38" spans="2:19" x14ac:dyDescent="0.3">
      <c r="B38" s="25" t="s">
        <v>39</v>
      </c>
      <c r="C38" s="24">
        <f ca="1">IRR(C33:K33)</f>
        <v>0.29949731215483544</v>
      </c>
      <c r="O38" s="1" t="str">
        <f t="shared" si="43"/>
        <v>Capacity 2021</v>
      </c>
      <c r="P38" s="1">
        <f t="shared" si="44"/>
        <v>5</v>
      </c>
      <c r="Q38" s="1">
        <v>1</v>
      </c>
      <c r="R38" s="13">
        <v>2.9148984648311504E-2</v>
      </c>
      <c r="S38" s="52" t="str">
        <f t="shared" si="45"/>
        <v>|||||||||||||||||||||</v>
      </c>
    </row>
    <row r="39" spans="2:19" x14ac:dyDescent="0.3">
      <c r="B39" s="26" t="s">
        <v>40</v>
      </c>
      <c r="C39" s="28">
        <f ca="1">NPV($P$19,D33:K33)+C33</f>
        <v>1328.5532103910377</v>
      </c>
      <c r="O39" s="1" t="str">
        <f t="shared" si="43"/>
        <v>Beg. Variable Cost %</v>
      </c>
      <c r="P39" s="13">
        <f t="shared" si="44"/>
        <v>0.8169642857142857</v>
      </c>
      <c r="Q39" s="9">
        <v>0.01</v>
      </c>
      <c r="R39" s="13">
        <v>2.2558816864605369E-2</v>
      </c>
      <c r="S39" s="52" t="str">
        <f t="shared" si="45"/>
        <v>||||||||||||||||</v>
      </c>
    </row>
    <row r="40" spans="2:19" x14ac:dyDescent="0.3">
      <c r="B40" s="27" t="s">
        <v>41</v>
      </c>
      <c r="C40" s="34">
        <f ca="1">IF(SUM(D35:K35)=0,"N/A",SUM(D35:K35))</f>
        <v>6</v>
      </c>
      <c r="O40" s="1" t="str">
        <f t="shared" si="43"/>
        <v>End. Variable Cost %</v>
      </c>
      <c r="P40" s="9">
        <f t="shared" si="44"/>
        <v>0.81</v>
      </c>
      <c r="Q40" s="9">
        <v>0.01</v>
      </c>
      <c r="R40" s="13">
        <v>1.8940619244339318E-2</v>
      </c>
      <c r="S40" s="52" t="str">
        <f t="shared" si="45"/>
        <v>||||||||||||||</v>
      </c>
    </row>
    <row r="41" spans="2:19" x14ac:dyDescent="0.3">
      <c r="O41" s="1" t="str">
        <f t="shared" si="43"/>
        <v>Fixed Costs</v>
      </c>
      <c r="P41" s="1">
        <f t="shared" si="44"/>
        <v>1200</v>
      </c>
      <c r="Q41" s="1">
        <v>50</v>
      </c>
      <c r="R41" s="13">
        <v>2.6531940673160115E-2</v>
      </c>
      <c r="S41" s="52" t="str">
        <f t="shared" si="45"/>
        <v>|||||||||||||||||||</v>
      </c>
    </row>
    <row r="42" spans="2:19" x14ac:dyDescent="0.3">
      <c r="O42" s="1" t="str">
        <f t="shared" si="43"/>
        <v>Growth %</v>
      </c>
      <c r="P42" s="10">
        <f t="shared" si="44"/>
        <v>2.5000000000000001E-2</v>
      </c>
      <c r="Q42" s="9">
        <v>0.01</v>
      </c>
      <c r="R42" s="13">
        <v>1.7062534515536409E-2</v>
      </c>
      <c r="S42" s="52" t="str">
        <f t="shared" si="45"/>
        <v>||||||||||||</v>
      </c>
    </row>
    <row r="43" spans="2:19" x14ac:dyDescent="0.3">
      <c r="O43" s="1" t="str">
        <f t="shared" si="43"/>
        <v>Capex</v>
      </c>
      <c r="P43" s="1">
        <f t="shared" si="44"/>
        <v>1000</v>
      </c>
      <c r="Q43" s="1">
        <v>50</v>
      </c>
      <c r="R43" s="13">
        <v>1.1940090077222854E-2</v>
      </c>
      <c r="S43" s="52" t="str">
        <f t="shared" si="45"/>
        <v>||||||||</v>
      </c>
    </row>
    <row r="44" spans="2:19" x14ac:dyDescent="0.3">
      <c r="O44" s="1" t="str">
        <f t="shared" si="43"/>
        <v>NWC</v>
      </c>
      <c r="P44" s="9">
        <f t="shared" si="44"/>
        <v>0.05</v>
      </c>
      <c r="Q44" s="9">
        <v>0.01</v>
      </c>
      <c r="R44" s="13">
        <v>1.5362715052884779E-2</v>
      </c>
      <c r="S44" s="52" t="str">
        <f t="shared" si="45"/>
        <v>|||||||||||</v>
      </c>
    </row>
    <row r="45" spans="2:19" x14ac:dyDescent="0.3">
      <c r="O45" s="1" t="str">
        <f t="shared" si="43"/>
        <v>Salvage Value</v>
      </c>
      <c r="P45" s="1">
        <f t="shared" si="44"/>
        <v>100</v>
      </c>
      <c r="Q45" s="1">
        <v>50</v>
      </c>
      <c r="R45" s="13">
        <v>2.9215408009293675E-2</v>
      </c>
      <c r="S45" s="52" t="str">
        <f t="shared" si="45"/>
        <v>|||||||||||||||||||||</v>
      </c>
    </row>
    <row r="46" spans="2:19" x14ac:dyDescent="0.3">
      <c r="O46" s="1" t="str">
        <f t="shared" si="43"/>
        <v>Discount Rate</v>
      </c>
      <c r="P46" s="9">
        <f t="shared" si="44"/>
        <v>0.1</v>
      </c>
      <c r="Q46" s="9">
        <v>0.01</v>
      </c>
      <c r="R46" s="13">
        <v>1.118279528290368E-2</v>
      </c>
      <c r="S46" s="52" t="str">
        <f t="shared" si="45"/>
        <v>||||||||</v>
      </c>
    </row>
    <row r="47" spans="2:19" x14ac:dyDescent="0.3">
      <c r="B47" s="1" t="s">
        <v>36</v>
      </c>
      <c r="D47" s="14">
        <f ca="1">$P$12</f>
        <v>0.8169642857142857</v>
      </c>
      <c r="E47" s="14">
        <f ca="1">D47+($K47-$D47)/7</f>
        <v>0.81596938775510208</v>
      </c>
      <c r="F47" s="14">
        <f t="shared" ref="F47:J47" ca="1" si="46">E47+($K47-$D47)/7</f>
        <v>0.81497448979591847</v>
      </c>
      <c r="G47" s="14">
        <f t="shared" ca="1" si="46"/>
        <v>0.81397959183673485</v>
      </c>
      <c r="H47" s="14">
        <f t="shared" ca="1" si="46"/>
        <v>0.81298469387755123</v>
      </c>
      <c r="I47" s="14">
        <f t="shared" ca="1" si="46"/>
        <v>0.81198979591836762</v>
      </c>
      <c r="J47" s="14">
        <f t="shared" ca="1" si="46"/>
        <v>0.810994897959184</v>
      </c>
      <c r="K47" s="1">
        <f ca="1">$P$13</f>
        <v>0.81</v>
      </c>
    </row>
    <row r="49" spans="2:19" ht="17" x14ac:dyDescent="0.6">
      <c r="B49" s="1" t="s">
        <v>37</v>
      </c>
      <c r="D49" s="9">
        <v>0.18</v>
      </c>
      <c r="E49" s="9">
        <v>0.15</v>
      </c>
      <c r="F49" s="9">
        <v>0.12</v>
      </c>
      <c r="G49" s="9">
        <v>0.1</v>
      </c>
      <c r="H49" s="9">
        <v>0.08</v>
      </c>
      <c r="I49" s="9">
        <v>7.0000000000000007E-2</v>
      </c>
      <c r="J49" s="9">
        <v>5.5E-2</v>
      </c>
      <c r="K49" s="9">
        <v>4.4999999999999998E-2</v>
      </c>
      <c r="O49" s="51" t="s">
        <v>51</v>
      </c>
      <c r="P49" s="51" t="s">
        <v>24</v>
      </c>
      <c r="Q49" s="51" t="s">
        <v>52</v>
      </c>
      <c r="R49" s="61" t="s">
        <v>53</v>
      </c>
      <c r="S49" s="61"/>
    </row>
    <row r="50" spans="2:19" x14ac:dyDescent="0.3">
      <c r="B50" s="1" t="s">
        <v>38</v>
      </c>
      <c r="D50" s="1">
        <f ca="1">D49*$C$29</f>
        <v>-180</v>
      </c>
      <c r="E50" s="1">
        <f t="shared" ref="E50:K50" ca="1" si="47">E49*$C$29</f>
        <v>-150</v>
      </c>
      <c r="F50" s="1">
        <f t="shared" ca="1" si="47"/>
        <v>-120</v>
      </c>
      <c r="G50" s="1">
        <f t="shared" ca="1" si="47"/>
        <v>-100</v>
      </c>
      <c r="H50" s="1">
        <f t="shared" ca="1" si="47"/>
        <v>-80</v>
      </c>
      <c r="I50" s="1">
        <f t="shared" ca="1" si="47"/>
        <v>-70</v>
      </c>
      <c r="J50" s="1">
        <f t="shared" ca="1" si="47"/>
        <v>-55</v>
      </c>
      <c r="K50" s="1">
        <f t="shared" ca="1" si="47"/>
        <v>-45</v>
      </c>
      <c r="O50" s="1" t="s">
        <v>3</v>
      </c>
      <c r="P50" s="1">
        <f>V7</f>
        <v>1120</v>
      </c>
      <c r="Q50" s="1">
        <v>50</v>
      </c>
      <c r="R50" s="13" cm="1">
        <f t="array" ref="R50:R62">TRANSPOSE(AN31:AZ31)</f>
        <v>3.7564264460049346E-2</v>
      </c>
      <c r="S50" s="52" t="str">
        <f>REPT("|",R50*750)</f>
        <v>||||||||||||||||||||||||||||</v>
      </c>
    </row>
    <row r="51" spans="2:19" x14ac:dyDescent="0.3">
      <c r="B51" s="1" t="s">
        <v>18</v>
      </c>
      <c r="D51" s="17">
        <f ca="1">D15*$P$17</f>
        <v>280</v>
      </c>
      <c r="E51" s="17">
        <f t="shared" ref="E51:K51" ca="1" si="48">E15*$P$17</f>
        <v>468.38400000000001</v>
      </c>
      <c r="F51" s="17">
        <f t="shared" ca="1" si="48"/>
        <v>489.695472</v>
      </c>
      <c r="G51" s="17">
        <f t="shared" ca="1" si="48"/>
        <v>511.97661597599995</v>
      </c>
      <c r="H51" s="17">
        <f t="shared" ca="1" si="48"/>
        <v>535.27155200290792</v>
      </c>
      <c r="I51" s="17">
        <f t="shared" ca="1" si="48"/>
        <v>559.62640761904026</v>
      </c>
      <c r="J51" s="17">
        <f t="shared" ca="1" si="48"/>
        <v>585.08940916570646</v>
      </c>
      <c r="K51" s="17">
        <f t="shared" ca="1" si="48"/>
        <v>611.71097728274606</v>
      </c>
      <c r="O51" s="1" t="s">
        <v>4</v>
      </c>
      <c r="P51" s="9">
        <f t="shared" ref="P51:P62" si="49">V8</f>
        <v>0.02</v>
      </c>
      <c r="Q51" s="9">
        <v>0.01</v>
      </c>
      <c r="R51" s="13">
        <v>2.7953092182576356E-2</v>
      </c>
      <c r="S51" s="52" t="str">
        <f t="shared" ref="S51:S62" si="50">REPT("|",R51*750)</f>
        <v>||||||||||||||||||||</v>
      </c>
    </row>
    <row r="52" spans="2:19" x14ac:dyDescent="0.3">
      <c r="O52" s="1" t="s">
        <v>5</v>
      </c>
      <c r="P52" s="1">
        <f t="shared" si="49"/>
        <v>8</v>
      </c>
      <c r="Q52" s="1">
        <v>1</v>
      </c>
      <c r="R52" s="13">
        <v>8.9738656980436149E-2</v>
      </c>
      <c r="S52" s="52" t="str">
        <f t="shared" si="50"/>
        <v>|||||||||||||||||||||||||||||||||||||||||||||||||||||||||||||||||||</v>
      </c>
    </row>
    <row r="53" spans="2:19" x14ac:dyDescent="0.3">
      <c r="O53" s="1" t="s">
        <v>4</v>
      </c>
      <c r="P53" s="10">
        <f t="shared" si="49"/>
        <v>2.5000000000000001E-2</v>
      </c>
      <c r="Q53" s="9">
        <v>0.01</v>
      </c>
      <c r="R53" s="13">
        <v>2.7821539844978593E-2</v>
      </c>
      <c r="S53" s="52" t="str">
        <f t="shared" si="50"/>
        <v>||||||||||||||||||||</v>
      </c>
    </row>
    <row r="54" spans="2:19" x14ac:dyDescent="0.3">
      <c r="O54" s="1" t="s">
        <v>30</v>
      </c>
      <c r="P54" s="1">
        <f t="shared" si="49"/>
        <v>3</v>
      </c>
      <c r="Q54" s="1">
        <v>1</v>
      </c>
      <c r="R54" s="13">
        <v>2.740913405401435E-2</v>
      </c>
      <c r="S54" s="52" t="str">
        <f t="shared" si="50"/>
        <v>||||||||||||||||||||</v>
      </c>
    </row>
    <row r="55" spans="2:19" ht="17" x14ac:dyDescent="0.6">
      <c r="B55" s="53" t="s">
        <v>2</v>
      </c>
      <c r="C55" s="54">
        <v>44196</v>
      </c>
      <c r="D55" s="54">
        <f>C55+365</f>
        <v>44561</v>
      </c>
      <c r="E55" s="54">
        <f t="shared" ref="E55:K55" si="51">D55+365</f>
        <v>44926</v>
      </c>
      <c r="F55" s="54">
        <f t="shared" si="51"/>
        <v>45291</v>
      </c>
      <c r="G55" s="54">
        <f t="shared" si="51"/>
        <v>45656</v>
      </c>
      <c r="H55" s="54">
        <f t="shared" si="51"/>
        <v>46021</v>
      </c>
      <c r="I55" s="54">
        <f t="shared" si="51"/>
        <v>46386</v>
      </c>
      <c r="J55" s="54">
        <f t="shared" si="51"/>
        <v>46751</v>
      </c>
      <c r="K55" s="54">
        <f t="shared" si="51"/>
        <v>47116</v>
      </c>
      <c r="L55" s="4"/>
      <c r="O55" s="1" t="s">
        <v>32</v>
      </c>
      <c r="P55" s="13">
        <f t="shared" si="49"/>
        <v>0.29017857142857145</v>
      </c>
      <c r="Q55" s="9">
        <v>0.01</v>
      </c>
      <c r="R55" s="13">
        <v>6.4579494821119798E-3</v>
      </c>
      <c r="S55" s="52" t="str">
        <f t="shared" si="50"/>
        <v>||||</v>
      </c>
    </row>
    <row r="56" spans="2:19" x14ac:dyDescent="0.3">
      <c r="O56" s="1" t="s">
        <v>31</v>
      </c>
      <c r="P56" s="9">
        <f t="shared" si="49"/>
        <v>0.28000000000000003</v>
      </c>
      <c r="Q56" s="9">
        <v>0.01</v>
      </c>
      <c r="R56" s="13">
        <v>5.920207354594309E-3</v>
      </c>
      <c r="S56" s="52" t="str">
        <f t="shared" si="50"/>
        <v>||||</v>
      </c>
    </row>
    <row r="57" spans="2:19" x14ac:dyDescent="0.3">
      <c r="B57" s="55" t="s">
        <v>7</v>
      </c>
      <c r="C57" s="55"/>
      <c r="D57" s="56">
        <f t="shared" ref="D57:K57" ca="1" si="52">D15</f>
        <v>5600</v>
      </c>
      <c r="E57" s="56">
        <f t="shared" ca="1" si="52"/>
        <v>9367.68</v>
      </c>
      <c r="F57" s="56">
        <f t="shared" ca="1" si="52"/>
        <v>9793.9094399999994</v>
      </c>
      <c r="G57" s="56">
        <f t="shared" ca="1" si="52"/>
        <v>10239.532319519998</v>
      </c>
      <c r="H57" s="56">
        <f t="shared" ca="1" si="52"/>
        <v>10705.431040058158</v>
      </c>
      <c r="I57" s="56">
        <f t="shared" ca="1" si="52"/>
        <v>11192.528152380804</v>
      </c>
      <c r="J57" s="56">
        <f t="shared" ca="1" si="52"/>
        <v>11701.788183314129</v>
      </c>
      <c r="K57" s="56">
        <f t="shared" ca="1" si="52"/>
        <v>12234.219545654922</v>
      </c>
      <c r="O57" s="1" t="s">
        <v>10</v>
      </c>
      <c r="P57" s="1">
        <f t="shared" si="49"/>
        <v>5400</v>
      </c>
      <c r="Q57" s="1">
        <v>50</v>
      </c>
      <c r="R57" s="13">
        <v>6.6525146718838801E-3</v>
      </c>
      <c r="S57" s="52" t="str">
        <f t="shared" si="50"/>
        <v>||||</v>
      </c>
    </row>
    <row r="58" spans="2:19" ht="14.5" x14ac:dyDescent="0.35">
      <c r="B58" s="6" t="s">
        <v>4</v>
      </c>
      <c r="E58" s="13">
        <f t="shared" ref="E58:K58" ca="1" si="53">E57/D57-1</f>
        <v>0.67280000000000006</v>
      </c>
      <c r="F58" s="13">
        <f t="shared" ca="1" si="53"/>
        <v>4.5499999999999874E-2</v>
      </c>
      <c r="G58" s="13">
        <f t="shared" ca="1" si="53"/>
        <v>4.5499999999999874E-2</v>
      </c>
      <c r="H58" s="13">
        <f t="shared" ca="1" si="53"/>
        <v>4.5500000000000096E-2</v>
      </c>
      <c r="I58" s="13">
        <f t="shared" ca="1" si="53"/>
        <v>4.5500000000000096E-2</v>
      </c>
      <c r="J58" s="13">
        <f t="shared" ca="1" si="53"/>
        <v>4.5499999999999874E-2</v>
      </c>
      <c r="K58" s="13">
        <f t="shared" ca="1" si="53"/>
        <v>4.5499999999999874E-2</v>
      </c>
      <c r="O58" s="1" t="s">
        <v>4</v>
      </c>
      <c r="P58" s="10">
        <f t="shared" si="49"/>
        <v>2.5000000000000001E-2</v>
      </c>
      <c r="Q58" s="9">
        <v>0.01</v>
      </c>
      <c r="R58" s="13">
        <v>2.3862245464827403E-2</v>
      </c>
      <c r="S58" s="52" t="str">
        <f t="shared" si="50"/>
        <v>|||||||||||||||||</v>
      </c>
    </row>
    <row r="59" spans="2:19" x14ac:dyDescent="0.3">
      <c r="O59" s="1" t="s">
        <v>17</v>
      </c>
      <c r="P59" s="1">
        <f t="shared" si="49"/>
        <v>5000</v>
      </c>
      <c r="Q59" s="1">
        <v>50</v>
      </c>
      <c r="R59" s="13">
        <v>1.6046287560289585E-3</v>
      </c>
      <c r="S59" s="52" t="str">
        <f t="shared" si="50"/>
        <v>|</v>
      </c>
    </row>
    <row r="60" spans="2:19" x14ac:dyDescent="0.3">
      <c r="B60" s="5" t="s">
        <v>3</v>
      </c>
      <c r="D60" s="1">
        <f ca="1">D7</f>
        <v>1120</v>
      </c>
      <c r="E60" s="12">
        <f ca="1">E7</f>
        <v>1142.4000000000001</v>
      </c>
      <c r="F60" s="12">
        <f t="shared" ref="F60:K60" ca="1" si="54">F7</f>
        <v>1165.248</v>
      </c>
      <c r="G60" s="12">
        <f t="shared" ca="1" si="54"/>
        <v>1188.55296</v>
      </c>
      <c r="H60" s="12">
        <f t="shared" ca="1" si="54"/>
        <v>1212.3240192000001</v>
      </c>
      <c r="I60" s="12">
        <f t="shared" ca="1" si="54"/>
        <v>1236.5704995840001</v>
      </c>
      <c r="J60" s="12">
        <f t="shared" ca="1" si="54"/>
        <v>1261.3019095756802</v>
      </c>
      <c r="K60" s="12">
        <f t="shared" ca="1" si="54"/>
        <v>1286.5279477671938</v>
      </c>
      <c r="O60" s="1" t="s">
        <v>18</v>
      </c>
      <c r="P60" s="9">
        <f t="shared" si="49"/>
        <v>0.09</v>
      </c>
      <c r="Q60" s="9">
        <v>0.01</v>
      </c>
      <c r="R60" s="13">
        <v>1.5664920588429609E-3</v>
      </c>
      <c r="S60" s="52" t="str">
        <f t="shared" si="50"/>
        <v>|</v>
      </c>
    </row>
    <row r="61" spans="2:19" ht="14.5" x14ac:dyDescent="0.35">
      <c r="B61" s="7" t="s">
        <v>4</v>
      </c>
      <c r="E61" s="14">
        <f ca="1">E8</f>
        <v>0.02</v>
      </c>
      <c r="F61" s="14">
        <f t="shared" ref="F61:K61" ca="1" si="55">F8</f>
        <v>0.02</v>
      </c>
      <c r="G61" s="14">
        <f t="shared" ca="1" si="55"/>
        <v>0.02</v>
      </c>
      <c r="H61" s="14">
        <f t="shared" ca="1" si="55"/>
        <v>0.02</v>
      </c>
      <c r="I61" s="14">
        <f t="shared" ca="1" si="55"/>
        <v>0.02</v>
      </c>
      <c r="J61" s="14">
        <f t="shared" ca="1" si="55"/>
        <v>0.02</v>
      </c>
      <c r="K61" s="14">
        <f t="shared" ca="1" si="55"/>
        <v>0.02</v>
      </c>
      <c r="O61" s="1" t="s">
        <v>34</v>
      </c>
      <c r="P61" s="1">
        <f t="shared" si="49"/>
        <v>800</v>
      </c>
      <c r="Q61" s="1">
        <v>50</v>
      </c>
      <c r="R61" s="13">
        <v>7.5964485012525174E-4</v>
      </c>
      <c r="S61" s="52" t="str">
        <f t="shared" si="50"/>
        <v/>
      </c>
    </row>
    <row r="62" spans="2:19" x14ac:dyDescent="0.3">
      <c r="B62" s="5"/>
      <c r="O62" s="1" t="s">
        <v>33</v>
      </c>
      <c r="P62" s="9">
        <f t="shared" si="49"/>
        <v>0.1</v>
      </c>
      <c r="Q62" s="9">
        <v>0.01</v>
      </c>
      <c r="R62" s="13">
        <v>2.9359944843269203E-2</v>
      </c>
      <c r="S62" s="52" t="str">
        <f t="shared" si="50"/>
        <v>||||||||||||||||||||||</v>
      </c>
    </row>
    <row r="63" spans="2:19" x14ac:dyDescent="0.3">
      <c r="B63" s="5" t="s">
        <v>54</v>
      </c>
      <c r="D63" s="11">
        <f ca="1">D13</f>
        <v>5</v>
      </c>
      <c r="E63" s="11">
        <f ca="1">E13</f>
        <v>8.1999999999999993</v>
      </c>
      <c r="F63" s="11">
        <f t="shared" ref="F63:K63" ca="1" si="56">F13</f>
        <v>8.4049999999999994</v>
      </c>
      <c r="G63" s="11">
        <f t="shared" ca="1" si="56"/>
        <v>8.615124999999999</v>
      </c>
      <c r="H63" s="11">
        <f t="shared" ca="1" si="56"/>
        <v>8.8305031249999981</v>
      </c>
      <c r="I63" s="11">
        <f t="shared" ca="1" si="56"/>
        <v>9.0512657031249972</v>
      </c>
      <c r="J63" s="11">
        <f t="shared" ca="1" si="56"/>
        <v>9.2775473457031215</v>
      </c>
      <c r="K63" s="11">
        <f t="shared" ca="1" si="56"/>
        <v>9.5094860293456982</v>
      </c>
    </row>
    <row r="64" spans="2:19" ht="14.5" x14ac:dyDescent="0.35">
      <c r="B64" s="7" t="s">
        <v>4</v>
      </c>
      <c r="E64" s="13">
        <f ca="1">E63/D63-1</f>
        <v>0.6399999999999999</v>
      </c>
      <c r="F64" s="13">
        <f t="shared" ref="F64:K64" ca="1" si="57">F63/E63-1</f>
        <v>2.4999999999999911E-2</v>
      </c>
      <c r="G64" s="13">
        <f t="shared" ca="1" si="57"/>
        <v>2.4999999999999911E-2</v>
      </c>
      <c r="H64" s="13">
        <f t="shared" ca="1" si="57"/>
        <v>2.4999999999999911E-2</v>
      </c>
      <c r="I64" s="13">
        <f t="shared" ca="1" si="57"/>
        <v>2.4999999999999911E-2</v>
      </c>
      <c r="J64" s="13">
        <f t="shared" ca="1" si="57"/>
        <v>2.4999999999999911E-2</v>
      </c>
      <c r="K64" s="13">
        <f t="shared" ca="1" si="57"/>
        <v>2.4999999999999911E-2</v>
      </c>
    </row>
    <row r="66" spans="2:11" x14ac:dyDescent="0.3">
      <c r="B66" s="55" t="s">
        <v>12</v>
      </c>
      <c r="C66" s="55"/>
      <c r="D66" s="56">
        <f ca="1">D22</f>
        <v>425</v>
      </c>
      <c r="E66" s="56">
        <f t="shared" ref="E66:K66" ca="1" si="58">E22</f>
        <v>493.93988571428417</v>
      </c>
      <c r="F66" s="56">
        <f t="shared" ca="1" si="58"/>
        <v>551.37309102857034</v>
      </c>
      <c r="G66" s="56">
        <f t="shared" ca="1" si="58"/>
        <v>612.49323147805626</v>
      </c>
      <c r="H66" s="56">
        <f t="shared" ca="1" si="58"/>
        <v>677.5039943792417</v>
      </c>
      <c r="I66" s="56">
        <f t="shared" ca="1" si="58"/>
        <v>746.61964664978041</v>
      </c>
      <c r="J66" s="56">
        <f t="shared" ca="1" si="58"/>
        <v>820.06556779183302</v>
      </c>
      <c r="K66" s="56">
        <f t="shared" ca="1" si="58"/>
        <v>898.07880927257793</v>
      </c>
    </row>
    <row r="67" spans="2:11" x14ac:dyDescent="0.3">
      <c r="B67" s="1" t="s">
        <v>13</v>
      </c>
      <c r="D67" s="14">
        <f ca="1">D66/D57</f>
        <v>7.5892857142857137E-2</v>
      </c>
      <c r="E67" s="14">
        <f t="shared" ref="E67:K67" ca="1" si="59">E66/E57</f>
        <v>5.2728091236494433E-2</v>
      </c>
      <c r="F67" s="14">
        <f t="shared" ca="1" si="59"/>
        <v>5.6297548431137052E-2</v>
      </c>
      <c r="G67" s="14">
        <f t="shared" ca="1" si="59"/>
        <v>5.9816524072143197E-2</v>
      </c>
      <c r="H67" s="14">
        <f t="shared" ca="1" si="59"/>
        <v>6.3286007993897747E-2</v>
      </c>
      <c r="I67" s="14">
        <f t="shared" ca="1" si="59"/>
        <v>6.6706970622268588E-2</v>
      </c>
      <c r="J67" s="14">
        <f t="shared" ca="1" si="59"/>
        <v>7.0080363355165237E-2</v>
      </c>
      <c r="K67" s="14">
        <f t="shared" ca="1" si="59"/>
        <v>7.3407118935636367E-2</v>
      </c>
    </row>
    <row r="69" spans="2:11" x14ac:dyDescent="0.3">
      <c r="B69" s="55" t="s">
        <v>20</v>
      </c>
      <c r="C69" s="56">
        <f ca="1">C33</f>
        <v>-1000</v>
      </c>
      <c r="D69" s="56">
        <f t="shared" ref="D69:K69" ca="1" si="60">D33</f>
        <v>71.5</v>
      </c>
      <c r="E69" s="56">
        <f t="shared" ca="1" si="60"/>
        <v>202.37391999999892</v>
      </c>
      <c r="F69" s="56">
        <f t="shared" ca="1" si="60"/>
        <v>400.64969171999928</v>
      </c>
      <c r="G69" s="56">
        <f t="shared" ca="1" si="60"/>
        <v>436.46411805863943</v>
      </c>
      <c r="H69" s="56">
        <f t="shared" ca="1" si="60"/>
        <v>474.95786003856119</v>
      </c>
      <c r="I69" s="56">
        <f t="shared" ca="1" si="60"/>
        <v>519.27889703871392</v>
      </c>
      <c r="J69" s="56">
        <f t="shared" ca="1" si="60"/>
        <v>565.08289590761694</v>
      </c>
      <c r="K69" s="56">
        <f t="shared" ca="1" si="60"/>
        <v>1327.244575656511</v>
      </c>
    </row>
    <row r="71" spans="2:11" x14ac:dyDescent="0.3">
      <c r="B71" s="25" t="s">
        <v>39</v>
      </c>
      <c r="C71" s="24">
        <f ca="1">C38</f>
        <v>0.29949731215483544</v>
      </c>
    </row>
    <row r="72" spans="2:11" x14ac:dyDescent="0.3">
      <c r="B72" s="26" t="s">
        <v>40</v>
      </c>
      <c r="C72" s="28">
        <f t="shared" ref="C72:C73" ca="1" si="61">C39</f>
        <v>1328.5532103910377</v>
      </c>
    </row>
    <row r="73" spans="2:11" x14ac:dyDescent="0.3">
      <c r="B73" s="27" t="s">
        <v>41</v>
      </c>
      <c r="C73" s="34">
        <f t="shared" ca="1" si="61"/>
        <v>6</v>
      </c>
    </row>
  </sheetData>
  <mergeCells count="2">
    <mergeCell ref="R33:S33"/>
    <mergeCell ref="R49:S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F73A-0ACD-4DE3-BCA3-DA2599B10030}">
  <dimension ref="A2:BB73"/>
  <sheetViews>
    <sheetView showGridLines="0" zoomScale="58" workbookViewId="0"/>
  </sheetViews>
  <sheetFormatPr defaultColWidth="10.6328125" defaultRowHeight="14.5" x14ac:dyDescent="0.35"/>
  <cols>
    <col min="1" max="1" width="1.6328125" customWidth="1"/>
    <col min="2" max="2" width="25.6328125" customWidth="1"/>
    <col min="3" max="16" width="10.6328125" customWidth="1"/>
    <col min="17" max="17" width="25.6328125" customWidth="1"/>
    <col min="18" max="18" width="10.6328125" customWidth="1"/>
  </cols>
  <sheetData>
    <row r="2" spans="1:54" x14ac:dyDescent="0.35">
      <c r="M2" s="1"/>
    </row>
    <row r="3" spans="1:54" x14ac:dyDescent="0.35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/>
      <c r="P3" s="1"/>
      <c r="Q3" s="2" t="s">
        <v>23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Q4" s="1"/>
      <c r="R4" s="1" t="s">
        <v>22</v>
      </c>
      <c r="S4" s="1"/>
      <c r="T4" s="1"/>
      <c r="U4" s="1"/>
      <c r="V4" s="1"/>
      <c r="W4" s="2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7" x14ac:dyDescent="0.6">
      <c r="A5" s="1"/>
      <c r="B5" s="3" t="s">
        <v>2</v>
      </c>
      <c r="C5" s="4">
        <v>44196</v>
      </c>
      <c r="D5" s="4">
        <f>C5+365</f>
        <v>44561</v>
      </c>
      <c r="E5" s="4">
        <f t="shared" ref="E5:K5" si="0">D5+365</f>
        <v>44926</v>
      </c>
      <c r="F5" s="4">
        <f t="shared" si="0"/>
        <v>45291</v>
      </c>
      <c r="G5" s="4">
        <f t="shared" si="0"/>
        <v>45656</v>
      </c>
      <c r="H5" s="4">
        <f t="shared" si="0"/>
        <v>46021</v>
      </c>
      <c r="I5" s="4">
        <f t="shared" si="0"/>
        <v>46386</v>
      </c>
      <c r="J5" s="4">
        <f t="shared" si="0"/>
        <v>46751</v>
      </c>
      <c r="K5" s="4">
        <f t="shared" si="0"/>
        <v>47116</v>
      </c>
      <c r="L5" s="4">
        <f t="shared" ref="L5" si="1">K5+365</f>
        <v>47481</v>
      </c>
      <c r="M5" s="4">
        <f t="shared" ref="M5" si="2">L5+365</f>
        <v>47846</v>
      </c>
      <c r="N5" s="4" t="s">
        <v>21</v>
      </c>
      <c r="O5" s="1"/>
      <c r="P5" s="1"/>
      <c r="Q5" s="1"/>
      <c r="R5" s="67">
        <v>1</v>
      </c>
      <c r="S5" s="1">
        <v>1</v>
      </c>
      <c r="T5" s="1">
        <f>S5+1</f>
        <v>2</v>
      </c>
      <c r="U5" s="1">
        <f t="shared" ref="U5" si="3">T5+1</f>
        <v>3</v>
      </c>
      <c r="V5" s="1">
        <f t="shared" ref="V5:AB5" si="4">U5+1</f>
        <v>4</v>
      </c>
      <c r="W5" s="29">
        <f t="shared" si="4"/>
        <v>5</v>
      </c>
      <c r="X5" s="1">
        <f t="shared" si="4"/>
        <v>6</v>
      </c>
      <c r="Y5" s="1">
        <f t="shared" si="4"/>
        <v>7</v>
      </c>
      <c r="Z5" s="1">
        <f t="shared" si="4"/>
        <v>8</v>
      </c>
      <c r="AA5" s="1">
        <f t="shared" si="4"/>
        <v>9</v>
      </c>
      <c r="AB5" s="29">
        <f t="shared" si="4"/>
        <v>10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9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35">
      <c r="A6" s="1"/>
      <c r="B6" s="1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8" t="s">
        <v>42</v>
      </c>
      <c r="R6" s="8" t="str">
        <f ca="1">OFFSET(R6,,$R$5)</f>
        <v>Refit Base</v>
      </c>
      <c r="S6" s="8" t="s">
        <v>26</v>
      </c>
      <c r="T6" s="8" t="s">
        <v>25</v>
      </c>
      <c r="U6" s="8" t="s">
        <v>27</v>
      </c>
      <c r="V6" s="8" t="s">
        <v>45</v>
      </c>
      <c r="W6" s="30" t="s">
        <v>44</v>
      </c>
      <c r="X6" s="8" t="s">
        <v>29</v>
      </c>
      <c r="Y6" s="8" t="s">
        <v>25</v>
      </c>
      <c r="Z6" s="8" t="s">
        <v>27</v>
      </c>
      <c r="AA6" s="8" t="s">
        <v>28</v>
      </c>
      <c r="AB6" s="30" t="s">
        <v>49</v>
      </c>
      <c r="AC6" s="8" t="s">
        <v>50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30"/>
      <c r="AP6" s="8"/>
      <c r="AQ6" s="8"/>
      <c r="AR6" s="8"/>
      <c r="AS6" s="8"/>
      <c r="AT6" s="8"/>
      <c r="AU6" s="8"/>
      <c r="AV6" s="8"/>
      <c r="AW6" s="8"/>
      <c r="AX6" s="1"/>
      <c r="AY6" s="1"/>
      <c r="AZ6" s="1"/>
      <c r="BA6" s="1"/>
      <c r="BB6" s="1"/>
    </row>
    <row r="7" spans="1:54" x14ac:dyDescent="0.35">
      <c r="A7" s="1"/>
      <c r="B7" s="1" t="s">
        <v>3</v>
      </c>
      <c r="C7" s="1"/>
      <c r="D7" s="1">
        <f ca="1">$R$7</f>
        <v>1120</v>
      </c>
      <c r="E7" s="12">
        <f t="shared" ref="E7:K7" ca="1" si="5">D7*(1+E8)</f>
        <v>1142.4000000000001</v>
      </c>
      <c r="F7" s="12">
        <f t="shared" ca="1" si="5"/>
        <v>1165.248</v>
      </c>
      <c r="G7" s="12">
        <f t="shared" ca="1" si="5"/>
        <v>1188.55296</v>
      </c>
      <c r="H7" s="12">
        <f t="shared" ca="1" si="5"/>
        <v>1212.3240192000001</v>
      </c>
      <c r="I7" s="12">
        <f t="shared" ca="1" si="5"/>
        <v>1236.5704995840001</v>
      </c>
      <c r="J7" s="12">
        <f t="shared" ca="1" si="5"/>
        <v>1261.3019095756802</v>
      </c>
      <c r="K7" s="12">
        <f t="shared" ca="1" si="5"/>
        <v>1286.5279477671938</v>
      </c>
      <c r="L7" s="12">
        <f t="shared" ref="L7:M7" ca="1" si="6">K7*(1+L8)</f>
        <v>1312.2585067225377</v>
      </c>
      <c r="M7" s="12">
        <f t="shared" ca="1" si="6"/>
        <v>1338.5036768569885</v>
      </c>
      <c r="N7" s="14">
        <f ca="1">_xlfn.RRI(7,D7,K7)</f>
        <v>2.0000000000000018E-2</v>
      </c>
      <c r="O7" s="1"/>
      <c r="P7" s="1"/>
      <c r="Q7" s="1" t="s">
        <v>3</v>
      </c>
      <c r="R7" s="66">
        <f t="shared" ref="R7:R17" ca="1" si="7">OFFSET(R7,,$R$5)</f>
        <v>1120</v>
      </c>
      <c r="S7" s="1">
        <v>1120</v>
      </c>
      <c r="T7" s="1">
        <f>$S7</f>
        <v>1120</v>
      </c>
      <c r="U7" s="1">
        <f t="shared" ref="U7:U20" si="8">$S7</f>
        <v>1120</v>
      </c>
      <c r="V7" s="1">
        <f>$S7</f>
        <v>1120</v>
      </c>
      <c r="W7" s="29">
        <f>V7</f>
        <v>1120</v>
      </c>
      <c r="X7" s="1">
        <v>1120</v>
      </c>
      <c r="Y7" s="1">
        <f>$X7</f>
        <v>1120</v>
      </c>
      <c r="Z7" s="1">
        <f>$X7</f>
        <v>1120</v>
      </c>
      <c r="AA7" s="1">
        <f>$X7</f>
        <v>1120</v>
      </c>
      <c r="AB7" s="29">
        <f>$X7</f>
        <v>1120</v>
      </c>
      <c r="AC7" s="47">
        <v>1170</v>
      </c>
      <c r="AD7" s="1">
        <f t="shared" ref="AD7:AO7" si="9">$S7</f>
        <v>1120</v>
      </c>
      <c r="AE7" s="1">
        <f t="shared" si="9"/>
        <v>1120</v>
      </c>
      <c r="AF7" s="1">
        <f t="shared" si="9"/>
        <v>1120</v>
      </c>
      <c r="AG7" s="1">
        <f t="shared" si="9"/>
        <v>1120</v>
      </c>
      <c r="AH7" s="1">
        <f t="shared" si="9"/>
        <v>1120</v>
      </c>
      <c r="AI7" s="1">
        <f t="shared" si="9"/>
        <v>1120</v>
      </c>
      <c r="AJ7" s="1">
        <f t="shared" si="9"/>
        <v>1120</v>
      </c>
      <c r="AK7" s="1">
        <f t="shared" si="9"/>
        <v>1120</v>
      </c>
      <c r="AL7" s="1">
        <f t="shared" si="9"/>
        <v>1120</v>
      </c>
      <c r="AM7" s="1">
        <f t="shared" si="9"/>
        <v>1120</v>
      </c>
      <c r="AN7" s="1">
        <f t="shared" si="9"/>
        <v>1120</v>
      </c>
      <c r="AO7" s="29">
        <f t="shared" si="9"/>
        <v>1120</v>
      </c>
      <c r="AP7" s="47">
        <v>1170</v>
      </c>
      <c r="AQ7" s="1">
        <f t="shared" ref="AQ7:BB7" si="10">$X7</f>
        <v>1120</v>
      </c>
      <c r="AR7" s="1">
        <f t="shared" si="10"/>
        <v>1120</v>
      </c>
      <c r="AS7" s="1">
        <f t="shared" si="10"/>
        <v>1120</v>
      </c>
      <c r="AT7" s="1">
        <f t="shared" si="10"/>
        <v>1120</v>
      </c>
      <c r="AU7" s="1">
        <f t="shared" si="10"/>
        <v>1120</v>
      </c>
      <c r="AV7" s="1">
        <f t="shared" si="10"/>
        <v>1120</v>
      </c>
      <c r="AW7" s="1">
        <f t="shared" si="10"/>
        <v>1120</v>
      </c>
      <c r="AX7" s="1">
        <f t="shared" si="10"/>
        <v>1120</v>
      </c>
      <c r="AY7" s="1">
        <f t="shared" si="10"/>
        <v>1120</v>
      </c>
      <c r="AZ7" s="1">
        <f t="shared" si="10"/>
        <v>1120</v>
      </c>
      <c r="BA7" s="1">
        <f t="shared" si="10"/>
        <v>1120</v>
      </c>
      <c r="BB7" s="1">
        <f t="shared" si="10"/>
        <v>1120</v>
      </c>
    </row>
    <row r="8" spans="1:54" x14ac:dyDescent="0.35">
      <c r="A8" s="1"/>
      <c r="B8" s="6" t="s">
        <v>4</v>
      </c>
      <c r="C8" s="1"/>
      <c r="D8" s="1"/>
      <c r="E8" s="14">
        <f t="shared" ref="E8:K8" ca="1" si="11">$R$8</f>
        <v>0.02</v>
      </c>
      <c r="F8" s="14">
        <f t="shared" ca="1" si="11"/>
        <v>0.02</v>
      </c>
      <c r="G8" s="14">
        <f t="shared" ca="1" si="11"/>
        <v>0.02</v>
      </c>
      <c r="H8" s="14">
        <f t="shared" ca="1" si="11"/>
        <v>0.02</v>
      </c>
      <c r="I8" s="14">
        <f t="shared" ca="1" si="11"/>
        <v>0.02</v>
      </c>
      <c r="J8" s="14">
        <f t="shared" ca="1" si="11"/>
        <v>0.02</v>
      </c>
      <c r="K8" s="14">
        <f t="shared" ca="1" si="11"/>
        <v>0.02</v>
      </c>
      <c r="L8" s="14">
        <f t="shared" ref="L8:M8" ca="1" si="12">$R$8</f>
        <v>0.02</v>
      </c>
      <c r="M8" s="14">
        <f t="shared" ca="1" si="12"/>
        <v>0.02</v>
      </c>
      <c r="N8" s="1"/>
      <c r="O8" s="1"/>
      <c r="P8" s="1"/>
      <c r="Q8" s="1" t="s">
        <v>4</v>
      </c>
      <c r="R8" s="66">
        <f t="shared" ca="1" si="7"/>
        <v>0.02</v>
      </c>
      <c r="S8" s="9">
        <v>0.02</v>
      </c>
      <c r="T8" s="9">
        <f t="shared" ref="T8:T20" si="13">$S8</f>
        <v>0.02</v>
      </c>
      <c r="U8" s="9">
        <f t="shared" si="8"/>
        <v>0.02</v>
      </c>
      <c r="V8" s="9">
        <f>$S8</f>
        <v>0.02</v>
      </c>
      <c r="W8" s="31">
        <f>$S8</f>
        <v>0.02</v>
      </c>
      <c r="X8" s="9">
        <f>S8</f>
        <v>0.02</v>
      </c>
      <c r="Y8" s="9">
        <f>$X8</f>
        <v>0.02</v>
      </c>
      <c r="Z8" s="9">
        <f>$X8</f>
        <v>0.02</v>
      </c>
      <c r="AA8" s="9">
        <f>$X8</f>
        <v>0.02</v>
      </c>
      <c r="AB8" s="9">
        <f t="shared" ref="AB8:AB22" si="14">$X8</f>
        <v>0.02</v>
      </c>
      <c r="AC8" s="39">
        <f t="shared" ref="AC8:AC22" si="15">$S8</f>
        <v>0.02</v>
      </c>
      <c r="AD8" s="48">
        <v>0.03</v>
      </c>
      <c r="AE8" s="9">
        <f t="shared" ref="AE8:AO8" si="16">$S8</f>
        <v>0.02</v>
      </c>
      <c r="AF8" s="9">
        <f t="shared" si="16"/>
        <v>0.02</v>
      </c>
      <c r="AG8" s="9">
        <f t="shared" si="16"/>
        <v>0.02</v>
      </c>
      <c r="AH8" s="9">
        <f t="shared" si="16"/>
        <v>0.02</v>
      </c>
      <c r="AI8" s="9">
        <f t="shared" si="16"/>
        <v>0.02</v>
      </c>
      <c r="AJ8" s="9">
        <f t="shared" si="16"/>
        <v>0.02</v>
      </c>
      <c r="AK8" s="9">
        <f t="shared" si="16"/>
        <v>0.02</v>
      </c>
      <c r="AL8" s="9">
        <f t="shared" si="16"/>
        <v>0.02</v>
      </c>
      <c r="AM8" s="9">
        <f t="shared" si="16"/>
        <v>0.02</v>
      </c>
      <c r="AN8" s="9">
        <f t="shared" si="16"/>
        <v>0.02</v>
      </c>
      <c r="AO8" s="31">
        <f t="shared" si="16"/>
        <v>0.02</v>
      </c>
      <c r="AP8" s="9">
        <f t="shared" ref="AP8:BB19" si="17">$X8</f>
        <v>0.02</v>
      </c>
      <c r="AQ8" s="48">
        <v>0.03</v>
      </c>
      <c r="AR8" s="9">
        <f t="shared" si="17"/>
        <v>0.02</v>
      </c>
      <c r="AS8" s="9">
        <f t="shared" si="17"/>
        <v>0.02</v>
      </c>
      <c r="AT8" s="9">
        <f t="shared" si="17"/>
        <v>0.02</v>
      </c>
      <c r="AU8" s="9">
        <f t="shared" si="17"/>
        <v>0.02</v>
      </c>
      <c r="AV8" s="9">
        <f t="shared" si="17"/>
        <v>0.02</v>
      </c>
      <c r="AW8" s="9">
        <f t="shared" si="17"/>
        <v>0.02</v>
      </c>
      <c r="AX8" s="9">
        <f t="shared" si="17"/>
        <v>0.02</v>
      </c>
      <c r="AY8" s="9">
        <f t="shared" si="17"/>
        <v>0.02</v>
      </c>
      <c r="AZ8" s="9">
        <f t="shared" si="17"/>
        <v>0.02</v>
      </c>
      <c r="BA8" s="9">
        <f t="shared" si="17"/>
        <v>0.02</v>
      </c>
      <c r="BB8" s="9">
        <f t="shared" si="17"/>
        <v>0.02</v>
      </c>
    </row>
    <row r="9" spans="1:54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5</v>
      </c>
      <c r="R9" s="66">
        <f t="shared" ca="1" si="7"/>
        <v>8</v>
      </c>
      <c r="S9" s="1">
        <v>8</v>
      </c>
      <c r="T9" s="1">
        <v>10</v>
      </c>
      <c r="U9" s="1">
        <v>6</v>
      </c>
      <c r="V9" s="1">
        <v>9</v>
      </c>
      <c r="W9" s="29">
        <v>6</v>
      </c>
      <c r="X9" s="1">
        <f>S9</f>
        <v>8</v>
      </c>
      <c r="Y9" s="1">
        <v>10</v>
      </c>
      <c r="Z9" s="1">
        <v>6</v>
      </c>
      <c r="AA9" s="1">
        <v>6</v>
      </c>
      <c r="AB9" s="1">
        <v>12</v>
      </c>
      <c r="AC9" s="40">
        <f t="shared" si="15"/>
        <v>8</v>
      </c>
      <c r="AD9" s="1">
        <f t="shared" ref="AD9:AD19" si="18">$S9</f>
        <v>8</v>
      </c>
      <c r="AE9" s="47">
        <v>9</v>
      </c>
      <c r="AF9" s="1">
        <f t="shared" ref="AF9:AO9" si="19">$S9</f>
        <v>8</v>
      </c>
      <c r="AG9" s="1">
        <f t="shared" si="19"/>
        <v>8</v>
      </c>
      <c r="AH9" s="1">
        <f t="shared" si="19"/>
        <v>8</v>
      </c>
      <c r="AI9" s="1">
        <f t="shared" si="19"/>
        <v>8</v>
      </c>
      <c r="AJ9" s="1">
        <f t="shared" si="19"/>
        <v>8</v>
      </c>
      <c r="AK9" s="1">
        <f t="shared" si="19"/>
        <v>8</v>
      </c>
      <c r="AL9" s="1">
        <f t="shared" si="19"/>
        <v>8</v>
      </c>
      <c r="AM9" s="1">
        <f t="shared" si="19"/>
        <v>8</v>
      </c>
      <c r="AN9" s="1">
        <f t="shared" si="19"/>
        <v>8</v>
      </c>
      <c r="AO9" s="29">
        <f t="shared" si="19"/>
        <v>8</v>
      </c>
      <c r="AP9" s="1">
        <f t="shared" si="17"/>
        <v>8</v>
      </c>
      <c r="AQ9" s="1">
        <f t="shared" si="17"/>
        <v>8</v>
      </c>
      <c r="AR9" s="47">
        <v>9</v>
      </c>
      <c r="AS9" s="1">
        <f t="shared" si="17"/>
        <v>8</v>
      </c>
      <c r="AT9" s="1">
        <f t="shared" si="17"/>
        <v>8</v>
      </c>
      <c r="AU9" s="1">
        <f t="shared" si="17"/>
        <v>8</v>
      </c>
      <c r="AV9" s="1">
        <f t="shared" si="17"/>
        <v>8</v>
      </c>
      <c r="AW9" s="1">
        <f t="shared" si="17"/>
        <v>8</v>
      </c>
      <c r="AX9" s="1">
        <f t="shared" si="17"/>
        <v>8</v>
      </c>
      <c r="AY9" s="1">
        <f t="shared" si="17"/>
        <v>8</v>
      </c>
      <c r="AZ9" s="1">
        <f t="shared" si="17"/>
        <v>8</v>
      </c>
      <c r="BA9" s="1">
        <f t="shared" si="17"/>
        <v>8</v>
      </c>
      <c r="BB9" s="1">
        <f t="shared" si="17"/>
        <v>8</v>
      </c>
    </row>
    <row r="10" spans="1:54" x14ac:dyDescent="0.35">
      <c r="A10" s="1"/>
      <c r="B10" s="1" t="s">
        <v>5</v>
      </c>
      <c r="C10" s="1"/>
      <c r="D10" s="1">
        <f ca="1">R9</f>
        <v>8</v>
      </c>
      <c r="E10" s="11">
        <f t="shared" ref="E10:K10" ca="1" si="20">D10*(1+E11)</f>
        <v>8.1999999999999993</v>
      </c>
      <c r="F10" s="11">
        <f t="shared" ca="1" si="20"/>
        <v>8.4049999999999994</v>
      </c>
      <c r="G10" s="11">
        <f t="shared" ca="1" si="20"/>
        <v>8.615124999999999</v>
      </c>
      <c r="H10" s="11">
        <f t="shared" ca="1" si="20"/>
        <v>8.8305031249999981</v>
      </c>
      <c r="I10" s="11">
        <f t="shared" ca="1" si="20"/>
        <v>9.0512657031249972</v>
      </c>
      <c r="J10" s="11">
        <f t="shared" ca="1" si="20"/>
        <v>9.2775473457031215</v>
      </c>
      <c r="K10" s="11">
        <f t="shared" ca="1" si="20"/>
        <v>9.5094860293456982</v>
      </c>
      <c r="L10" s="11">
        <f t="shared" ref="L10:M10" ca="1" si="21">K10*(1+L11)</f>
        <v>9.7472231800793399</v>
      </c>
      <c r="M10" s="11">
        <f t="shared" ca="1" si="21"/>
        <v>9.9909037595813217</v>
      </c>
      <c r="N10" s="14">
        <f ca="1">_xlfn.RRI(7,D10,K10)</f>
        <v>2.4999999999999911E-2</v>
      </c>
      <c r="O10" s="1"/>
      <c r="P10" s="1"/>
      <c r="Q10" s="1" t="s">
        <v>4</v>
      </c>
      <c r="R10" s="66">
        <f t="shared" ca="1" si="7"/>
        <v>2.5000000000000001E-2</v>
      </c>
      <c r="S10" s="10">
        <v>2.5000000000000001E-2</v>
      </c>
      <c r="T10" s="10">
        <f t="shared" si="13"/>
        <v>2.5000000000000001E-2</v>
      </c>
      <c r="U10" s="10">
        <v>2.5000000000000001E-2</v>
      </c>
      <c r="V10" s="58">
        <v>2.5000000000000001E-2</v>
      </c>
      <c r="W10" s="32"/>
      <c r="X10" s="10">
        <f>S10</f>
        <v>2.5000000000000001E-2</v>
      </c>
      <c r="Y10" s="10">
        <f t="shared" ref="Y10:Z20" si="22">$X10</f>
        <v>2.5000000000000001E-2</v>
      </c>
      <c r="Z10" s="10">
        <f t="shared" si="22"/>
        <v>2.5000000000000001E-2</v>
      </c>
      <c r="AA10" s="10"/>
      <c r="AB10" s="10">
        <f t="shared" si="14"/>
        <v>2.5000000000000001E-2</v>
      </c>
      <c r="AC10" s="41">
        <f t="shared" si="15"/>
        <v>2.5000000000000001E-2</v>
      </c>
      <c r="AD10" s="10">
        <f t="shared" si="18"/>
        <v>2.5000000000000001E-2</v>
      </c>
      <c r="AE10" s="10">
        <f t="shared" ref="AE10:AE19" si="23">$S10</f>
        <v>2.5000000000000001E-2</v>
      </c>
      <c r="AF10" s="49">
        <v>3.5000000000000003E-2</v>
      </c>
      <c r="AG10" s="10">
        <f t="shared" ref="AG10:AO10" si="24">$S10</f>
        <v>2.5000000000000001E-2</v>
      </c>
      <c r="AH10" s="10">
        <f t="shared" si="24"/>
        <v>2.5000000000000001E-2</v>
      </c>
      <c r="AI10" s="10">
        <f t="shared" si="24"/>
        <v>2.5000000000000001E-2</v>
      </c>
      <c r="AJ10" s="10">
        <f t="shared" si="24"/>
        <v>2.5000000000000001E-2</v>
      </c>
      <c r="AK10" s="10">
        <f t="shared" si="24"/>
        <v>2.5000000000000001E-2</v>
      </c>
      <c r="AL10" s="10">
        <f t="shared" si="24"/>
        <v>2.5000000000000001E-2</v>
      </c>
      <c r="AM10" s="10">
        <f t="shared" si="24"/>
        <v>2.5000000000000001E-2</v>
      </c>
      <c r="AN10" s="10">
        <f t="shared" si="24"/>
        <v>2.5000000000000001E-2</v>
      </c>
      <c r="AO10" s="32">
        <f t="shared" si="24"/>
        <v>2.5000000000000001E-2</v>
      </c>
      <c r="AP10" s="10">
        <f t="shared" si="17"/>
        <v>2.5000000000000001E-2</v>
      </c>
      <c r="AQ10" s="10">
        <f t="shared" si="17"/>
        <v>2.5000000000000001E-2</v>
      </c>
      <c r="AR10" s="10">
        <f t="shared" si="17"/>
        <v>2.5000000000000001E-2</v>
      </c>
      <c r="AS10" s="49">
        <v>3.5000000000000003E-2</v>
      </c>
      <c r="AT10" s="10">
        <f t="shared" si="17"/>
        <v>2.5000000000000001E-2</v>
      </c>
      <c r="AU10" s="10">
        <f t="shared" si="17"/>
        <v>2.5000000000000001E-2</v>
      </c>
      <c r="AV10" s="10">
        <f t="shared" si="17"/>
        <v>2.5000000000000001E-2</v>
      </c>
      <c r="AW10" s="10">
        <f t="shared" si="17"/>
        <v>2.5000000000000001E-2</v>
      </c>
      <c r="AX10" s="10">
        <f t="shared" si="17"/>
        <v>2.5000000000000001E-2</v>
      </c>
      <c r="AY10" s="10">
        <f t="shared" si="17"/>
        <v>2.5000000000000001E-2</v>
      </c>
      <c r="AZ10" s="10">
        <f t="shared" si="17"/>
        <v>2.5000000000000001E-2</v>
      </c>
      <c r="BA10" s="10">
        <f t="shared" si="17"/>
        <v>2.5000000000000001E-2</v>
      </c>
      <c r="BB10" s="10">
        <f t="shared" si="17"/>
        <v>2.5000000000000001E-2</v>
      </c>
    </row>
    <row r="11" spans="1:54" x14ac:dyDescent="0.35">
      <c r="A11" s="1"/>
      <c r="B11" s="6" t="s">
        <v>4</v>
      </c>
      <c r="C11" s="1"/>
      <c r="D11" s="1"/>
      <c r="E11" s="14">
        <f t="shared" ref="E11:K11" ca="1" si="25">$R$10</f>
        <v>2.5000000000000001E-2</v>
      </c>
      <c r="F11" s="14">
        <f t="shared" ca="1" si="25"/>
        <v>2.5000000000000001E-2</v>
      </c>
      <c r="G11" s="14">
        <f t="shared" ca="1" si="25"/>
        <v>2.5000000000000001E-2</v>
      </c>
      <c r="H11" s="14">
        <f t="shared" ca="1" si="25"/>
        <v>2.5000000000000001E-2</v>
      </c>
      <c r="I11" s="14">
        <f t="shared" ca="1" si="25"/>
        <v>2.5000000000000001E-2</v>
      </c>
      <c r="J11" s="14">
        <f t="shared" ca="1" si="25"/>
        <v>2.5000000000000001E-2</v>
      </c>
      <c r="K11" s="14">
        <f t="shared" ca="1" si="25"/>
        <v>2.5000000000000001E-2</v>
      </c>
      <c r="L11" s="14">
        <f t="shared" ref="L11:M11" ca="1" si="26">$R$10</f>
        <v>2.5000000000000001E-2</v>
      </c>
      <c r="M11" s="14">
        <f t="shared" ca="1" si="26"/>
        <v>2.5000000000000001E-2</v>
      </c>
      <c r="N11" s="1"/>
      <c r="O11" s="1"/>
      <c r="P11" s="1"/>
      <c r="Q11" s="1" t="s">
        <v>30</v>
      </c>
      <c r="R11" s="66">
        <f t="shared" ca="1" si="7"/>
        <v>5</v>
      </c>
      <c r="S11" s="1">
        <v>5</v>
      </c>
      <c r="T11" s="1">
        <f t="shared" si="13"/>
        <v>5</v>
      </c>
      <c r="U11" s="1">
        <f t="shared" si="8"/>
        <v>5</v>
      </c>
      <c r="V11" s="1">
        <f t="shared" ref="V11:W19" si="27">$S11</f>
        <v>5</v>
      </c>
      <c r="W11" s="29">
        <f t="shared" si="27"/>
        <v>5</v>
      </c>
      <c r="X11" s="1">
        <v>3</v>
      </c>
      <c r="Y11" s="1">
        <f t="shared" si="22"/>
        <v>3</v>
      </c>
      <c r="Z11" s="1">
        <f t="shared" si="22"/>
        <v>3</v>
      </c>
      <c r="AA11" s="1">
        <f t="shared" ref="AA11:AA19" si="28">$X11</f>
        <v>3</v>
      </c>
      <c r="AB11" s="1">
        <f t="shared" si="14"/>
        <v>3</v>
      </c>
      <c r="AC11" s="40">
        <f t="shared" si="15"/>
        <v>5</v>
      </c>
      <c r="AD11" s="1">
        <f t="shared" si="18"/>
        <v>5</v>
      </c>
      <c r="AE11" s="1">
        <f t="shared" si="23"/>
        <v>5</v>
      </c>
      <c r="AF11" s="1">
        <f t="shared" ref="AF11:AF19" si="29">$S11</f>
        <v>5</v>
      </c>
      <c r="AG11" s="47">
        <v>6</v>
      </c>
      <c r="AH11" s="1">
        <f t="shared" ref="AH11:AO11" si="30">$S11</f>
        <v>5</v>
      </c>
      <c r="AI11" s="1">
        <f t="shared" si="30"/>
        <v>5</v>
      </c>
      <c r="AJ11" s="1">
        <f t="shared" si="30"/>
        <v>5</v>
      </c>
      <c r="AK11" s="1">
        <f t="shared" si="30"/>
        <v>5</v>
      </c>
      <c r="AL11" s="1">
        <f t="shared" si="30"/>
        <v>5</v>
      </c>
      <c r="AM11" s="1">
        <f t="shared" si="30"/>
        <v>5</v>
      </c>
      <c r="AN11" s="1">
        <f t="shared" si="30"/>
        <v>5</v>
      </c>
      <c r="AO11" s="29">
        <f t="shared" si="30"/>
        <v>5</v>
      </c>
      <c r="AP11" s="1">
        <f t="shared" si="17"/>
        <v>3</v>
      </c>
      <c r="AQ11" s="1">
        <f t="shared" si="17"/>
        <v>3</v>
      </c>
      <c r="AR11" s="1">
        <f t="shared" si="17"/>
        <v>3</v>
      </c>
      <c r="AS11" s="1">
        <f t="shared" si="17"/>
        <v>3</v>
      </c>
      <c r="AT11" s="47">
        <v>4</v>
      </c>
      <c r="AU11" s="1">
        <f t="shared" si="17"/>
        <v>3</v>
      </c>
      <c r="AV11" s="1">
        <f t="shared" si="17"/>
        <v>3</v>
      </c>
      <c r="AW11" s="1">
        <f t="shared" si="17"/>
        <v>3</v>
      </c>
      <c r="AX11" s="1">
        <f t="shared" si="17"/>
        <v>3</v>
      </c>
      <c r="AY11" s="1">
        <f t="shared" si="17"/>
        <v>3</v>
      </c>
      <c r="AZ11" s="1">
        <f t="shared" si="17"/>
        <v>3</v>
      </c>
      <c r="BA11" s="1">
        <f t="shared" si="17"/>
        <v>3</v>
      </c>
      <c r="BB11" s="1">
        <f t="shared" si="17"/>
        <v>3</v>
      </c>
    </row>
    <row r="12" spans="1:5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32</v>
      </c>
      <c r="R12" s="66">
        <f t="shared" ca="1" si="7"/>
        <v>0.8169642857142857</v>
      </c>
      <c r="S12" s="13">
        <f>915/S7</f>
        <v>0.8169642857142857</v>
      </c>
      <c r="T12" s="13">
        <f t="shared" si="13"/>
        <v>0.8169642857142857</v>
      </c>
      <c r="U12" s="13">
        <f t="shared" si="8"/>
        <v>0.8169642857142857</v>
      </c>
      <c r="V12" s="36">
        <f t="shared" si="27"/>
        <v>0.8169642857142857</v>
      </c>
      <c r="W12" s="33">
        <f t="shared" si="27"/>
        <v>0.8169642857142857</v>
      </c>
      <c r="X12" s="13">
        <f>325/X7</f>
        <v>0.29017857142857145</v>
      </c>
      <c r="Y12" s="13">
        <f t="shared" si="22"/>
        <v>0.29017857142857145</v>
      </c>
      <c r="Z12" s="13">
        <f t="shared" si="22"/>
        <v>0.29017857142857145</v>
      </c>
      <c r="AA12" s="13">
        <f t="shared" si="28"/>
        <v>0.29017857142857145</v>
      </c>
      <c r="AB12" s="36">
        <f t="shared" si="14"/>
        <v>0.29017857142857145</v>
      </c>
      <c r="AC12" s="42">
        <f t="shared" si="15"/>
        <v>0.8169642857142857</v>
      </c>
      <c r="AD12" s="36">
        <f t="shared" si="18"/>
        <v>0.8169642857142857</v>
      </c>
      <c r="AE12" s="36">
        <f t="shared" si="23"/>
        <v>0.8169642857142857</v>
      </c>
      <c r="AF12" s="36">
        <f t="shared" si="29"/>
        <v>0.8169642857142857</v>
      </c>
      <c r="AG12" s="36">
        <f t="shared" ref="AG12:AG19" si="31">$S12</f>
        <v>0.8169642857142857</v>
      </c>
      <c r="AH12" s="50">
        <v>0.81</v>
      </c>
      <c r="AI12" s="36">
        <f t="shared" ref="AI12:AO12" si="32">$S12</f>
        <v>0.8169642857142857</v>
      </c>
      <c r="AJ12" s="36">
        <f t="shared" si="32"/>
        <v>0.8169642857142857</v>
      </c>
      <c r="AK12" s="36">
        <f t="shared" si="32"/>
        <v>0.8169642857142857</v>
      </c>
      <c r="AL12" s="36">
        <f t="shared" si="32"/>
        <v>0.8169642857142857</v>
      </c>
      <c r="AM12" s="36">
        <f t="shared" si="32"/>
        <v>0.8169642857142857</v>
      </c>
      <c r="AN12" s="36">
        <f t="shared" si="32"/>
        <v>0.8169642857142857</v>
      </c>
      <c r="AO12" s="33">
        <f t="shared" si="32"/>
        <v>0.8169642857142857</v>
      </c>
      <c r="AP12" s="36">
        <f t="shared" si="17"/>
        <v>0.29017857142857145</v>
      </c>
      <c r="AQ12" s="36">
        <f t="shared" si="17"/>
        <v>0.29017857142857145</v>
      </c>
      <c r="AR12" s="36">
        <f t="shared" si="17"/>
        <v>0.29017857142857145</v>
      </c>
      <c r="AS12" s="36">
        <f t="shared" si="17"/>
        <v>0.29017857142857145</v>
      </c>
      <c r="AT12" s="36">
        <f t="shared" si="17"/>
        <v>0.29017857142857145</v>
      </c>
      <c r="AU12" s="50">
        <v>0.28000000000000003</v>
      </c>
      <c r="AV12" s="36">
        <f t="shared" si="17"/>
        <v>0.29017857142857145</v>
      </c>
      <c r="AW12" s="36">
        <f t="shared" si="17"/>
        <v>0.29017857142857145</v>
      </c>
      <c r="AX12" s="36">
        <f t="shared" si="17"/>
        <v>0.29017857142857145</v>
      </c>
      <c r="AY12" s="36">
        <f t="shared" si="17"/>
        <v>0.29017857142857145</v>
      </c>
      <c r="AZ12" s="36">
        <f t="shared" si="17"/>
        <v>0.29017857142857145</v>
      </c>
      <c r="BA12" s="36">
        <f t="shared" si="17"/>
        <v>0.29017857142857145</v>
      </c>
      <c r="BB12" s="36">
        <f t="shared" si="17"/>
        <v>0.29017857142857145</v>
      </c>
    </row>
    <row r="13" spans="1:54" x14ac:dyDescent="0.35">
      <c r="A13" s="1"/>
      <c r="B13" s="1" t="s">
        <v>6</v>
      </c>
      <c r="C13" s="1"/>
      <c r="D13" s="1">
        <f ca="1">R11</f>
        <v>5</v>
      </c>
      <c r="E13" s="11">
        <v>8.1999999999999993</v>
      </c>
      <c r="F13" s="11">
        <f t="shared" ref="F13:K13" ca="1" si="33">IF(AND($R$22=1,F10&gt;10),10,F10)</f>
        <v>8.4049999999999994</v>
      </c>
      <c r="G13" s="11">
        <f t="shared" ca="1" si="33"/>
        <v>8.615124999999999</v>
      </c>
      <c r="H13" s="11">
        <f t="shared" ca="1" si="33"/>
        <v>8.8305031249999981</v>
      </c>
      <c r="I13" s="11">
        <f t="shared" ca="1" si="33"/>
        <v>9.0512657031249972</v>
      </c>
      <c r="J13" s="11">
        <f t="shared" ca="1" si="33"/>
        <v>9.2775473457031215</v>
      </c>
      <c r="K13" s="11">
        <f t="shared" ca="1" si="33"/>
        <v>9.5094860293456982</v>
      </c>
      <c r="L13" s="11">
        <f t="shared" ref="L13" ca="1" si="34">IF(AND($R$22=1,L10&gt;10),10,L10)</f>
        <v>9.7472231800793399</v>
      </c>
      <c r="M13" s="11">
        <f t="shared" ref="M13" ca="1" si="35">IF(AND($R$22=1,M10&gt;10),10,M10)</f>
        <v>9.9909037595813217</v>
      </c>
      <c r="N13" s="1"/>
      <c r="O13" s="1"/>
      <c r="P13" s="1"/>
      <c r="Q13" s="1" t="s">
        <v>31</v>
      </c>
      <c r="R13" s="66">
        <f t="shared" ca="1" si="7"/>
        <v>0.81</v>
      </c>
      <c r="S13" s="9">
        <v>0.81</v>
      </c>
      <c r="T13" s="9">
        <f t="shared" si="13"/>
        <v>0.81</v>
      </c>
      <c r="U13" s="9">
        <f t="shared" si="8"/>
        <v>0.81</v>
      </c>
      <c r="V13" s="9">
        <f t="shared" si="27"/>
        <v>0.81</v>
      </c>
      <c r="W13" s="31">
        <f t="shared" si="27"/>
        <v>0.81</v>
      </c>
      <c r="X13" s="9">
        <v>0.28000000000000003</v>
      </c>
      <c r="Y13" s="9">
        <f t="shared" si="22"/>
        <v>0.28000000000000003</v>
      </c>
      <c r="Z13" s="9">
        <f t="shared" si="22"/>
        <v>0.28000000000000003</v>
      </c>
      <c r="AA13" s="9">
        <f t="shared" si="28"/>
        <v>0.28000000000000003</v>
      </c>
      <c r="AB13" s="9">
        <f t="shared" si="14"/>
        <v>0.28000000000000003</v>
      </c>
      <c r="AC13" s="39">
        <f t="shared" si="15"/>
        <v>0.81</v>
      </c>
      <c r="AD13" s="9">
        <f t="shared" si="18"/>
        <v>0.81</v>
      </c>
      <c r="AE13" s="9">
        <f t="shared" si="23"/>
        <v>0.81</v>
      </c>
      <c r="AF13" s="9">
        <f t="shared" si="29"/>
        <v>0.81</v>
      </c>
      <c r="AG13" s="9">
        <f t="shared" si="31"/>
        <v>0.81</v>
      </c>
      <c r="AH13" s="9">
        <f t="shared" ref="AH13:AH19" si="36">$S13</f>
        <v>0.81</v>
      </c>
      <c r="AI13" s="48">
        <v>0.8</v>
      </c>
      <c r="AJ13" s="9">
        <f t="shared" ref="AJ13:AO13" si="37">$S13</f>
        <v>0.81</v>
      </c>
      <c r="AK13" s="9">
        <f t="shared" si="37"/>
        <v>0.81</v>
      </c>
      <c r="AL13" s="9">
        <f t="shared" si="37"/>
        <v>0.81</v>
      </c>
      <c r="AM13" s="9">
        <f t="shared" si="37"/>
        <v>0.81</v>
      </c>
      <c r="AN13" s="9">
        <f t="shared" si="37"/>
        <v>0.81</v>
      </c>
      <c r="AO13" s="31">
        <f t="shared" si="37"/>
        <v>0.81</v>
      </c>
      <c r="AP13" s="9">
        <f t="shared" si="17"/>
        <v>0.28000000000000003</v>
      </c>
      <c r="AQ13" s="9">
        <f t="shared" si="17"/>
        <v>0.28000000000000003</v>
      </c>
      <c r="AR13" s="9">
        <f t="shared" si="17"/>
        <v>0.28000000000000003</v>
      </c>
      <c r="AS13" s="9">
        <f t="shared" si="17"/>
        <v>0.28000000000000003</v>
      </c>
      <c r="AT13" s="9">
        <f t="shared" si="17"/>
        <v>0.28000000000000003</v>
      </c>
      <c r="AU13" s="9">
        <f t="shared" si="17"/>
        <v>0.28000000000000003</v>
      </c>
      <c r="AV13" s="48">
        <v>0.27</v>
      </c>
      <c r="AW13" s="9">
        <f t="shared" si="17"/>
        <v>0.28000000000000003</v>
      </c>
      <c r="AX13" s="9">
        <f t="shared" si="17"/>
        <v>0.28000000000000003</v>
      </c>
      <c r="AY13" s="9">
        <f t="shared" si="17"/>
        <v>0.28000000000000003</v>
      </c>
      <c r="AZ13" s="9">
        <f t="shared" si="17"/>
        <v>0.28000000000000003</v>
      </c>
      <c r="BA13" s="9">
        <f t="shared" si="17"/>
        <v>0.28000000000000003</v>
      </c>
      <c r="BB13" s="9">
        <f t="shared" si="17"/>
        <v>0.28000000000000003</v>
      </c>
    </row>
    <row r="14" spans="1:5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10</v>
      </c>
      <c r="R14" s="66">
        <f t="shared" ca="1" si="7"/>
        <v>1200</v>
      </c>
      <c r="S14" s="1">
        <v>1200</v>
      </c>
      <c r="T14" s="1">
        <f t="shared" si="13"/>
        <v>1200</v>
      </c>
      <c r="U14" s="1">
        <f t="shared" si="8"/>
        <v>1200</v>
      </c>
      <c r="V14" s="1">
        <f t="shared" si="27"/>
        <v>1200</v>
      </c>
      <c r="W14" s="29">
        <f t="shared" si="27"/>
        <v>1200</v>
      </c>
      <c r="X14" s="1">
        <v>5400</v>
      </c>
      <c r="Y14" s="1">
        <f t="shared" si="22"/>
        <v>5400</v>
      </c>
      <c r="Z14" s="1">
        <f t="shared" si="22"/>
        <v>5400</v>
      </c>
      <c r="AA14" s="1">
        <f t="shared" si="28"/>
        <v>5400</v>
      </c>
      <c r="AB14" s="1">
        <f t="shared" si="14"/>
        <v>5400</v>
      </c>
      <c r="AC14" s="40">
        <f t="shared" si="15"/>
        <v>1200</v>
      </c>
      <c r="AD14" s="1">
        <f t="shared" si="18"/>
        <v>1200</v>
      </c>
      <c r="AE14" s="1">
        <f t="shared" si="23"/>
        <v>1200</v>
      </c>
      <c r="AF14" s="1">
        <f t="shared" si="29"/>
        <v>1200</v>
      </c>
      <c r="AG14" s="1">
        <f t="shared" si="31"/>
        <v>1200</v>
      </c>
      <c r="AH14" s="1">
        <f t="shared" si="36"/>
        <v>1200</v>
      </c>
      <c r="AI14" s="1">
        <f t="shared" ref="AI14:AI19" si="38">$S14</f>
        <v>1200</v>
      </c>
      <c r="AJ14" s="47">
        <v>1250</v>
      </c>
      <c r="AK14" s="1">
        <f>$S14</f>
        <v>1200</v>
      </c>
      <c r="AL14" s="1">
        <f>$S14</f>
        <v>1200</v>
      </c>
      <c r="AM14" s="1">
        <f>$S14</f>
        <v>1200</v>
      </c>
      <c r="AN14" s="1">
        <f>$S14</f>
        <v>1200</v>
      </c>
      <c r="AO14" s="29">
        <f>$S14</f>
        <v>1200</v>
      </c>
      <c r="AP14" s="1">
        <f t="shared" si="17"/>
        <v>5400</v>
      </c>
      <c r="AQ14" s="1">
        <f t="shared" si="17"/>
        <v>5400</v>
      </c>
      <c r="AR14" s="1">
        <f t="shared" si="17"/>
        <v>5400</v>
      </c>
      <c r="AS14" s="1">
        <f t="shared" si="17"/>
        <v>5400</v>
      </c>
      <c r="AT14" s="1">
        <f t="shared" si="17"/>
        <v>5400</v>
      </c>
      <c r="AU14" s="1">
        <f t="shared" si="17"/>
        <v>5400</v>
      </c>
      <c r="AV14" s="1">
        <f t="shared" si="17"/>
        <v>5400</v>
      </c>
      <c r="AW14" s="47">
        <v>5450</v>
      </c>
      <c r="AX14" s="1">
        <f t="shared" si="17"/>
        <v>5400</v>
      </c>
      <c r="AY14" s="1">
        <f t="shared" si="17"/>
        <v>5400</v>
      </c>
      <c r="AZ14" s="1">
        <f t="shared" si="17"/>
        <v>5400</v>
      </c>
      <c r="BA14" s="1">
        <f t="shared" si="17"/>
        <v>5400</v>
      </c>
      <c r="BB14" s="1">
        <f t="shared" si="17"/>
        <v>5400</v>
      </c>
    </row>
    <row r="15" spans="1:54" x14ac:dyDescent="0.35">
      <c r="A15" s="1"/>
      <c r="B15" s="55" t="s">
        <v>7</v>
      </c>
      <c r="C15" s="64"/>
      <c r="D15" s="65">
        <f t="shared" ref="D15:K15" ca="1" si="39">D7*D13</f>
        <v>5600</v>
      </c>
      <c r="E15" s="65">
        <f t="shared" ca="1" si="39"/>
        <v>9367.68</v>
      </c>
      <c r="F15" s="65">
        <f t="shared" ca="1" si="39"/>
        <v>9793.9094399999994</v>
      </c>
      <c r="G15" s="65">
        <f t="shared" ca="1" si="39"/>
        <v>10239.532319519998</v>
      </c>
      <c r="H15" s="65">
        <f t="shared" ca="1" si="39"/>
        <v>10705.431040058158</v>
      </c>
      <c r="I15" s="65">
        <f t="shared" ca="1" si="39"/>
        <v>11192.528152380804</v>
      </c>
      <c r="J15" s="65">
        <f t="shared" ca="1" si="39"/>
        <v>11701.788183314129</v>
      </c>
      <c r="K15" s="65">
        <f t="shared" ca="1" si="39"/>
        <v>12234.219545654922</v>
      </c>
      <c r="L15" s="65">
        <f t="shared" ref="L15" ca="1" si="40">L7*L13</f>
        <v>12790.876534982221</v>
      </c>
      <c r="M15" s="65">
        <f t="shared" ref="M15" ca="1" si="41">M7*M13</f>
        <v>13372.861417323909</v>
      </c>
      <c r="N15" s="14">
        <f ca="1">_xlfn.RRI(7,D15,K15)</f>
        <v>0.11810872045582244</v>
      </c>
      <c r="O15" s="1"/>
      <c r="P15" s="1"/>
      <c r="Q15" s="1" t="s">
        <v>4</v>
      </c>
      <c r="R15" s="66">
        <f t="shared" ca="1" si="7"/>
        <v>2.5000000000000001E-2</v>
      </c>
      <c r="S15" s="10">
        <v>2.5000000000000001E-2</v>
      </c>
      <c r="T15" s="10">
        <f t="shared" si="13"/>
        <v>2.5000000000000001E-2</v>
      </c>
      <c r="U15" s="10">
        <f t="shared" si="8"/>
        <v>2.5000000000000001E-2</v>
      </c>
      <c r="V15" s="10">
        <f t="shared" si="27"/>
        <v>2.5000000000000001E-2</v>
      </c>
      <c r="W15" s="32">
        <f t="shared" si="27"/>
        <v>2.5000000000000001E-2</v>
      </c>
      <c r="X15" s="10">
        <v>2.5000000000000001E-2</v>
      </c>
      <c r="Y15" s="10">
        <f t="shared" si="22"/>
        <v>2.5000000000000001E-2</v>
      </c>
      <c r="Z15" s="10">
        <f t="shared" si="22"/>
        <v>2.5000000000000001E-2</v>
      </c>
      <c r="AA15" s="10">
        <f t="shared" si="28"/>
        <v>2.5000000000000001E-2</v>
      </c>
      <c r="AB15" s="10">
        <f t="shared" si="14"/>
        <v>2.5000000000000001E-2</v>
      </c>
      <c r="AC15" s="41">
        <f t="shared" si="15"/>
        <v>2.5000000000000001E-2</v>
      </c>
      <c r="AD15" s="10">
        <f t="shared" si="18"/>
        <v>2.5000000000000001E-2</v>
      </c>
      <c r="AE15" s="10">
        <f t="shared" si="23"/>
        <v>2.5000000000000001E-2</v>
      </c>
      <c r="AF15" s="10">
        <f t="shared" si="29"/>
        <v>2.5000000000000001E-2</v>
      </c>
      <c r="AG15" s="10">
        <f t="shared" si="31"/>
        <v>2.5000000000000001E-2</v>
      </c>
      <c r="AH15" s="10">
        <f t="shared" si="36"/>
        <v>2.5000000000000001E-2</v>
      </c>
      <c r="AI15" s="10">
        <f t="shared" si="38"/>
        <v>2.5000000000000001E-2</v>
      </c>
      <c r="AJ15" s="10">
        <f>$S15</f>
        <v>2.5000000000000001E-2</v>
      </c>
      <c r="AK15" s="49">
        <v>3.5000000000000003E-2</v>
      </c>
      <c r="AL15" s="10">
        <f>$S15</f>
        <v>2.5000000000000001E-2</v>
      </c>
      <c r="AM15" s="10">
        <f>$S15</f>
        <v>2.5000000000000001E-2</v>
      </c>
      <c r="AN15" s="10">
        <f>$S15</f>
        <v>2.5000000000000001E-2</v>
      </c>
      <c r="AO15" s="32">
        <f>$S15</f>
        <v>2.5000000000000001E-2</v>
      </c>
      <c r="AP15" s="10">
        <f t="shared" si="17"/>
        <v>2.5000000000000001E-2</v>
      </c>
      <c r="AQ15" s="10">
        <f t="shared" si="17"/>
        <v>2.5000000000000001E-2</v>
      </c>
      <c r="AR15" s="10">
        <f t="shared" si="17"/>
        <v>2.5000000000000001E-2</v>
      </c>
      <c r="AS15" s="10">
        <f t="shared" si="17"/>
        <v>2.5000000000000001E-2</v>
      </c>
      <c r="AT15" s="10">
        <f t="shared" si="17"/>
        <v>2.5000000000000001E-2</v>
      </c>
      <c r="AU15" s="10">
        <f t="shared" si="17"/>
        <v>2.5000000000000001E-2</v>
      </c>
      <c r="AV15" s="10">
        <f t="shared" si="17"/>
        <v>2.5000000000000001E-2</v>
      </c>
      <c r="AW15" s="10">
        <f t="shared" si="17"/>
        <v>2.5000000000000001E-2</v>
      </c>
      <c r="AX15" s="49">
        <v>3.5000000000000003E-2</v>
      </c>
      <c r="AY15" s="10">
        <f t="shared" si="17"/>
        <v>2.5000000000000001E-2</v>
      </c>
      <c r="AZ15" s="10">
        <f t="shared" si="17"/>
        <v>2.5000000000000001E-2</v>
      </c>
      <c r="BA15" s="10">
        <f t="shared" si="17"/>
        <v>2.5000000000000001E-2</v>
      </c>
      <c r="BB15" s="10">
        <f t="shared" si="17"/>
        <v>2.5000000000000001E-2</v>
      </c>
    </row>
    <row r="16" spans="1:54" x14ac:dyDescent="0.35">
      <c r="A16" s="1"/>
      <c r="B16" s="6" t="s">
        <v>4</v>
      </c>
      <c r="C16" s="1"/>
      <c r="D16" s="1"/>
      <c r="E16" s="14">
        <f t="shared" ref="E16:K16" ca="1" si="42">E15/D15-1</f>
        <v>0.67280000000000006</v>
      </c>
      <c r="F16" s="14">
        <f t="shared" ca="1" si="42"/>
        <v>4.5499999999999874E-2</v>
      </c>
      <c r="G16" s="14">
        <f t="shared" ca="1" si="42"/>
        <v>4.5499999999999874E-2</v>
      </c>
      <c r="H16" s="14">
        <f t="shared" ca="1" si="42"/>
        <v>4.5500000000000096E-2</v>
      </c>
      <c r="I16" s="14">
        <f t="shared" ca="1" si="42"/>
        <v>4.5500000000000096E-2</v>
      </c>
      <c r="J16" s="14">
        <f t="shared" ca="1" si="42"/>
        <v>4.5499999999999874E-2</v>
      </c>
      <c r="K16" s="14">
        <f t="shared" ca="1" si="42"/>
        <v>4.5499999999999874E-2</v>
      </c>
      <c r="L16" s="14">
        <f t="shared" ref="L16:M16" ca="1" si="43">L15/K15-1</f>
        <v>4.5500000000000096E-2</v>
      </c>
      <c r="M16" s="14">
        <f t="shared" ca="1" si="43"/>
        <v>4.5499999999999874E-2</v>
      </c>
      <c r="N16" s="1"/>
      <c r="O16" s="1"/>
      <c r="P16" s="1"/>
      <c r="Q16" s="1" t="s">
        <v>17</v>
      </c>
      <c r="R16" s="66">
        <f t="shared" ca="1" si="7"/>
        <v>1000</v>
      </c>
      <c r="S16" s="1">
        <v>1000</v>
      </c>
      <c r="T16" s="1">
        <f t="shared" si="13"/>
        <v>1000</v>
      </c>
      <c r="U16" s="1">
        <f t="shared" si="8"/>
        <v>1000</v>
      </c>
      <c r="V16" s="1">
        <f t="shared" si="27"/>
        <v>1000</v>
      </c>
      <c r="W16" s="29">
        <f t="shared" si="27"/>
        <v>1000</v>
      </c>
      <c r="X16" s="1">
        <v>5000</v>
      </c>
      <c r="Y16" s="1">
        <f t="shared" si="22"/>
        <v>5000</v>
      </c>
      <c r="Z16" s="1">
        <f t="shared" si="22"/>
        <v>5000</v>
      </c>
      <c r="AA16" s="1">
        <f t="shared" si="28"/>
        <v>5000</v>
      </c>
      <c r="AB16" s="1">
        <f t="shared" si="14"/>
        <v>5000</v>
      </c>
      <c r="AC16" s="40">
        <f t="shared" si="15"/>
        <v>1000</v>
      </c>
      <c r="AD16" s="1">
        <f t="shared" si="18"/>
        <v>1000</v>
      </c>
      <c r="AE16" s="1">
        <f t="shared" si="23"/>
        <v>1000</v>
      </c>
      <c r="AF16" s="1">
        <f t="shared" si="29"/>
        <v>1000</v>
      </c>
      <c r="AG16" s="1">
        <f t="shared" si="31"/>
        <v>1000</v>
      </c>
      <c r="AH16" s="1">
        <f t="shared" si="36"/>
        <v>1000</v>
      </c>
      <c r="AI16" s="1">
        <f t="shared" si="38"/>
        <v>1000</v>
      </c>
      <c r="AJ16" s="1">
        <f>$S16</f>
        <v>1000</v>
      </c>
      <c r="AK16" s="1">
        <f>$S16</f>
        <v>1000</v>
      </c>
      <c r="AL16" s="47">
        <v>1050</v>
      </c>
      <c r="AM16" s="1">
        <f>$S16</f>
        <v>1000</v>
      </c>
      <c r="AN16" s="1">
        <f>$S16</f>
        <v>1000</v>
      </c>
      <c r="AO16" s="29">
        <f>$S16</f>
        <v>1000</v>
      </c>
      <c r="AP16" s="1">
        <f t="shared" si="17"/>
        <v>5000</v>
      </c>
      <c r="AQ16" s="1">
        <f t="shared" si="17"/>
        <v>5000</v>
      </c>
      <c r="AR16" s="1">
        <f t="shared" si="17"/>
        <v>5000</v>
      </c>
      <c r="AS16" s="1">
        <f t="shared" si="17"/>
        <v>5000</v>
      </c>
      <c r="AT16" s="1">
        <f t="shared" si="17"/>
        <v>5000</v>
      </c>
      <c r="AU16" s="1">
        <f t="shared" si="17"/>
        <v>5000</v>
      </c>
      <c r="AV16" s="1">
        <f t="shared" si="17"/>
        <v>5000</v>
      </c>
      <c r="AW16" s="1">
        <f t="shared" si="17"/>
        <v>5000</v>
      </c>
      <c r="AX16" s="1">
        <f t="shared" si="17"/>
        <v>5000</v>
      </c>
      <c r="AY16" s="47">
        <v>5050</v>
      </c>
      <c r="AZ16" s="1">
        <f t="shared" si="17"/>
        <v>5000</v>
      </c>
      <c r="BA16" s="1">
        <f t="shared" si="17"/>
        <v>5000</v>
      </c>
      <c r="BB16" s="1">
        <f t="shared" si="17"/>
        <v>5000</v>
      </c>
    </row>
    <row r="17" spans="1:5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s">
        <v>18</v>
      </c>
      <c r="R17" s="66">
        <f t="shared" ca="1" si="7"/>
        <v>0.05</v>
      </c>
      <c r="S17" s="9">
        <v>0.05</v>
      </c>
      <c r="T17" s="9">
        <f t="shared" si="13"/>
        <v>0.05</v>
      </c>
      <c r="U17" s="9">
        <f t="shared" si="8"/>
        <v>0.05</v>
      </c>
      <c r="V17" s="9">
        <f t="shared" si="27"/>
        <v>0.05</v>
      </c>
      <c r="W17" s="31">
        <f t="shared" si="27"/>
        <v>0.05</v>
      </c>
      <c r="X17" s="9">
        <v>0.09</v>
      </c>
      <c r="Y17" s="9">
        <f t="shared" si="22"/>
        <v>0.09</v>
      </c>
      <c r="Z17" s="9">
        <f t="shared" si="22"/>
        <v>0.09</v>
      </c>
      <c r="AA17" s="9">
        <f t="shared" si="28"/>
        <v>0.09</v>
      </c>
      <c r="AB17" s="9">
        <f t="shared" si="14"/>
        <v>0.09</v>
      </c>
      <c r="AC17" s="39">
        <f t="shared" si="15"/>
        <v>0.05</v>
      </c>
      <c r="AD17" s="9">
        <f t="shared" si="18"/>
        <v>0.05</v>
      </c>
      <c r="AE17" s="9">
        <f t="shared" si="23"/>
        <v>0.05</v>
      </c>
      <c r="AF17" s="9">
        <f t="shared" si="29"/>
        <v>0.05</v>
      </c>
      <c r="AG17" s="9">
        <f t="shared" si="31"/>
        <v>0.05</v>
      </c>
      <c r="AH17" s="9">
        <f t="shared" si="36"/>
        <v>0.05</v>
      </c>
      <c r="AI17" s="9">
        <f t="shared" si="38"/>
        <v>0.05</v>
      </c>
      <c r="AJ17" s="9">
        <f>$S17</f>
        <v>0.05</v>
      </c>
      <c r="AK17" s="9">
        <f>$S17</f>
        <v>0.05</v>
      </c>
      <c r="AL17" s="9">
        <f>$S17</f>
        <v>0.05</v>
      </c>
      <c r="AM17" s="48">
        <v>0.06</v>
      </c>
      <c r="AN17" s="9">
        <f>$S17</f>
        <v>0.05</v>
      </c>
      <c r="AO17" s="31">
        <f>$S17</f>
        <v>0.05</v>
      </c>
      <c r="AP17" s="9">
        <f t="shared" si="17"/>
        <v>0.09</v>
      </c>
      <c r="AQ17" s="9">
        <f t="shared" si="17"/>
        <v>0.09</v>
      </c>
      <c r="AR17" s="9">
        <f t="shared" si="17"/>
        <v>0.09</v>
      </c>
      <c r="AS17" s="9">
        <f t="shared" si="17"/>
        <v>0.09</v>
      </c>
      <c r="AT17" s="9">
        <f t="shared" si="17"/>
        <v>0.09</v>
      </c>
      <c r="AU17" s="9">
        <f t="shared" si="17"/>
        <v>0.09</v>
      </c>
      <c r="AV17" s="9">
        <f t="shared" si="17"/>
        <v>0.09</v>
      </c>
      <c r="AW17" s="9">
        <f t="shared" si="17"/>
        <v>0.09</v>
      </c>
      <c r="AX17" s="9">
        <f t="shared" si="17"/>
        <v>0.09</v>
      </c>
      <c r="AY17" s="9">
        <f t="shared" si="17"/>
        <v>0.09</v>
      </c>
      <c r="AZ17" s="48">
        <v>0.1</v>
      </c>
      <c r="BA17" s="9">
        <f t="shared" si="17"/>
        <v>0.09</v>
      </c>
      <c r="BB17" s="9">
        <f t="shared" si="17"/>
        <v>0.09</v>
      </c>
    </row>
    <row r="18" spans="1:54" x14ac:dyDescent="0.35">
      <c r="A18" s="1"/>
      <c r="B18" s="16" t="s">
        <v>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 t="s">
        <v>34</v>
      </c>
      <c r="R18" s="66">
        <f ca="1">OFFSET(R18,,$R$5)</f>
        <v>100</v>
      </c>
      <c r="S18" s="1">
        <v>100</v>
      </c>
      <c r="T18" s="1">
        <f t="shared" si="13"/>
        <v>100</v>
      </c>
      <c r="U18" s="1">
        <f t="shared" si="8"/>
        <v>100</v>
      </c>
      <c r="V18" s="1">
        <f t="shared" si="27"/>
        <v>100</v>
      </c>
      <c r="W18" s="29">
        <f t="shared" si="27"/>
        <v>100</v>
      </c>
      <c r="X18" s="1">
        <v>800</v>
      </c>
      <c r="Y18" s="1">
        <f t="shared" si="22"/>
        <v>800</v>
      </c>
      <c r="Z18" s="1">
        <f t="shared" si="22"/>
        <v>800</v>
      </c>
      <c r="AA18" s="1">
        <f t="shared" si="28"/>
        <v>800</v>
      </c>
      <c r="AB18" s="1">
        <f t="shared" si="14"/>
        <v>800</v>
      </c>
      <c r="AC18" s="40">
        <f t="shared" si="15"/>
        <v>100</v>
      </c>
      <c r="AD18" s="1">
        <f t="shared" si="18"/>
        <v>100</v>
      </c>
      <c r="AE18" s="1">
        <f t="shared" si="23"/>
        <v>100</v>
      </c>
      <c r="AF18" s="1">
        <f t="shared" si="29"/>
        <v>100</v>
      </c>
      <c r="AG18" s="1">
        <f t="shared" si="31"/>
        <v>100</v>
      </c>
      <c r="AH18" s="1">
        <f t="shared" si="36"/>
        <v>100</v>
      </c>
      <c r="AI18" s="1">
        <f t="shared" si="38"/>
        <v>100</v>
      </c>
      <c r="AJ18" s="1">
        <f>$S18</f>
        <v>100</v>
      </c>
      <c r="AK18" s="1">
        <f>$S18</f>
        <v>100</v>
      </c>
      <c r="AL18" s="1">
        <f>$S18</f>
        <v>100</v>
      </c>
      <c r="AM18" s="1">
        <f>$S18</f>
        <v>100</v>
      </c>
      <c r="AN18" s="47">
        <v>1050</v>
      </c>
      <c r="AO18" s="29">
        <f>$S18</f>
        <v>100</v>
      </c>
      <c r="AP18" s="1">
        <f t="shared" si="17"/>
        <v>800</v>
      </c>
      <c r="AQ18" s="1">
        <f t="shared" si="17"/>
        <v>800</v>
      </c>
      <c r="AR18" s="1">
        <f t="shared" si="17"/>
        <v>800</v>
      </c>
      <c r="AS18" s="1">
        <f t="shared" si="17"/>
        <v>800</v>
      </c>
      <c r="AT18" s="1">
        <f t="shared" si="17"/>
        <v>800</v>
      </c>
      <c r="AU18" s="1">
        <f t="shared" si="17"/>
        <v>800</v>
      </c>
      <c r="AV18" s="1">
        <f t="shared" si="17"/>
        <v>800</v>
      </c>
      <c r="AW18" s="1">
        <f t="shared" si="17"/>
        <v>800</v>
      </c>
      <c r="AX18" s="1">
        <f t="shared" si="17"/>
        <v>800</v>
      </c>
      <c r="AY18" s="1">
        <f t="shared" si="17"/>
        <v>800</v>
      </c>
      <c r="AZ18" s="1">
        <f t="shared" si="17"/>
        <v>800</v>
      </c>
      <c r="BA18" s="47">
        <v>850</v>
      </c>
      <c r="BB18" s="1">
        <f t="shared" si="17"/>
        <v>800</v>
      </c>
    </row>
    <row r="19" spans="1:54" x14ac:dyDescent="0.35">
      <c r="A19" s="1"/>
      <c r="B19" s="1" t="s">
        <v>9</v>
      </c>
      <c r="C19" s="1"/>
      <c r="D19" s="17">
        <f ca="1">D44*-D15</f>
        <v>-4575</v>
      </c>
      <c r="E19" s="17">
        <f ca="1">E44*-E15</f>
        <v>-7643.7401142857152</v>
      </c>
      <c r="F19" s="17">
        <f ca="1">-F15*$X$12</f>
        <v>-2841.9826499999999</v>
      </c>
      <c r="G19" s="17">
        <f t="shared" ref="G19:M19" ca="1" si="44">-G15*$X$12</f>
        <v>-2971.2928605749998</v>
      </c>
      <c r="H19" s="17">
        <f t="shared" ca="1" si="44"/>
        <v>-3106.4866857311622</v>
      </c>
      <c r="I19" s="17">
        <f t="shared" ca="1" si="44"/>
        <v>-3247.8318299319303</v>
      </c>
      <c r="J19" s="17">
        <f t="shared" ca="1" si="44"/>
        <v>-3395.6081781938324</v>
      </c>
      <c r="K19" s="17">
        <f t="shared" ca="1" si="44"/>
        <v>-3550.1083503016516</v>
      </c>
      <c r="L19" s="17">
        <f t="shared" ca="1" si="44"/>
        <v>-3711.6382802403768</v>
      </c>
      <c r="M19" s="17">
        <f t="shared" ca="1" si="44"/>
        <v>-3880.5178219913132</v>
      </c>
      <c r="N19" s="1"/>
      <c r="O19" s="1"/>
      <c r="P19" s="1"/>
      <c r="Q19" s="1" t="s">
        <v>33</v>
      </c>
      <c r="R19" s="66">
        <f ca="1">OFFSET(R19,,$R$5)</f>
        <v>0.1</v>
      </c>
      <c r="S19" s="9">
        <v>0.1</v>
      </c>
      <c r="T19" s="9">
        <f t="shared" si="13"/>
        <v>0.1</v>
      </c>
      <c r="U19" s="9">
        <f t="shared" si="8"/>
        <v>0.1</v>
      </c>
      <c r="V19" s="9">
        <f t="shared" si="27"/>
        <v>0.1</v>
      </c>
      <c r="W19" s="31">
        <f t="shared" si="27"/>
        <v>0.1</v>
      </c>
      <c r="X19" s="9">
        <f>S19</f>
        <v>0.1</v>
      </c>
      <c r="Y19" s="9">
        <f t="shared" si="22"/>
        <v>0.1</v>
      </c>
      <c r="Z19" s="9">
        <f t="shared" si="22"/>
        <v>0.1</v>
      </c>
      <c r="AA19" s="9">
        <f t="shared" si="28"/>
        <v>0.1</v>
      </c>
      <c r="AB19" s="9">
        <f t="shared" si="14"/>
        <v>0.1</v>
      </c>
      <c r="AC19" s="39">
        <f t="shared" si="15"/>
        <v>0.1</v>
      </c>
      <c r="AD19" s="9">
        <f t="shared" si="18"/>
        <v>0.1</v>
      </c>
      <c r="AE19" s="9">
        <f t="shared" si="23"/>
        <v>0.1</v>
      </c>
      <c r="AF19" s="9">
        <f t="shared" si="29"/>
        <v>0.1</v>
      </c>
      <c r="AG19" s="9">
        <f t="shared" si="31"/>
        <v>0.1</v>
      </c>
      <c r="AH19" s="9">
        <f t="shared" si="36"/>
        <v>0.1</v>
      </c>
      <c r="AI19" s="9">
        <f t="shared" si="38"/>
        <v>0.1</v>
      </c>
      <c r="AJ19" s="9">
        <f>$S19</f>
        <v>0.1</v>
      </c>
      <c r="AK19" s="9">
        <f>$S19</f>
        <v>0.1</v>
      </c>
      <c r="AL19" s="9">
        <f>$S19</f>
        <v>0.1</v>
      </c>
      <c r="AM19" s="9">
        <f>$S19</f>
        <v>0.1</v>
      </c>
      <c r="AN19" s="9">
        <f>$S19</f>
        <v>0.1</v>
      </c>
      <c r="AO19" s="44">
        <v>0.11</v>
      </c>
      <c r="AP19" s="9">
        <f t="shared" si="17"/>
        <v>0.1</v>
      </c>
      <c r="AQ19" s="9">
        <f t="shared" si="17"/>
        <v>0.1</v>
      </c>
      <c r="AR19" s="9">
        <f t="shared" si="17"/>
        <v>0.1</v>
      </c>
      <c r="AS19" s="9">
        <f t="shared" si="17"/>
        <v>0.1</v>
      </c>
      <c r="AT19" s="9">
        <f t="shared" si="17"/>
        <v>0.1</v>
      </c>
      <c r="AU19" s="9">
        <f t="shared" si="17"/>
        <v>0.1</v>
      </c>
      <c r="AV19" s="9">
        <f t="shared" si="17"/>
        <v>0.1</v>
      </c>
      <c r="AW19" s="9">
        <f t="shared" si="17"/>
        <v>0.1</v>
      </c>
      <c r="AX19" s="9">
        <f t="shared" si="17"/>
        <v>0.1</v>
      </c>
      <c r="AY19" s="9">
        <f t="shared" si="17"/>
        <v>0.1</v>
      </c>
      <c r="AZ19" s="9">
        <f t="shared" si="17"/>
        <v>0.1</v>
      </c>
      <c r="BA19" s="9">
        <f t="shared" si="17"/>
        <v>0.1</v>
      </c>
      <c r="BB19" s="48">
        <v>0.11</v>
      </c>
    </row>
    <row r="20" spans="1:54" x14ac:dyDescent="0.35">
      <c r="A20" s="1"/>
      <c r="B20" s="1" t="s">
        <v>10</v>
      </c>
      <c r="C20" s="1"/>
      <c r="D20" s="12">
        <f ca="1">-R14/2</f>
        <v>-600</v>
      </c>
      <c r="E20" s="17">
        <f ca="1">D20*2*(1+$R$15)</f>
        <v>-1230</v>
      </c>
      <c r="F20" s="17">
        <f>-X14/2</f>
        <v>-2700</v>
      </c>
      <c r="G20" s="17">
        <f>F20*2*(1+$V$15)</f>
        <v>-5534.9999999999991</v>
      </c>
      <c r="H20" s="17">
        <f t="shared" ref="H20:M20" si="45">G20*(1+$V$15)</f>
        <v>-5673.3749999999982</v>
      </c>
      <c r="I20" s="17">
        <f t="shared" si="45"/>
        <v>-5815.2093749999976</v>
      </c>
      <c r="J20" s="17">
        <f t="shared" si="45"/>
        <v>-5960.5896093749971</v>
      </c>
      <c r="K20" s="17">
        <f t="shared" si="45"/>
        <v>-6109.6043496093716</v>
      </c>
      <c r="L20" s="17">
        <f t="shared" si="45"/>
        <v>-6262.3444583496057</v>
      </c>
      <c r="M20" s="17">
        <f t="shared" si="45"/>
        <v>-6418.9030698083452</v>
      </c>
      <c r="N20" s="1"/>
      <c r="O20" s="1"/>
      <c r="P20" s="1"/>
      <c r="Q20" s="1" t="s">
        <v>47</v>
      </c>
      <c r="R20" s="66">
        <f ca="1">OFFSET(R20,,$R$5)</f>
        <v>0</v>
      </c>
      <c r="S20" s="1">
        <v>0</v>
      </c>
      <c r="T20" s="12">
        <f t="shared" si="13"/>
        <v>0</v>
      </c>
      <c r="U20" s="12">
        <f t="shared" si="8"/>
        <v>0</v>
      </c>
      <c r="V20" s="1">
        <v>800</v>
      </c>
      <c r="W20" s="29">
        <v>0</v>
      </c>
      <c r="X20" s="12">
        <v>0</v>
      </c>
      <c r="Y20" s="12">
        <f t="shared" si="22"/>
        <v>0</v>
      </c>
      <c r="Z20" s="12">
        <f t="shared" si="22"/>
        <v>0</v>
      </c>
      <c r="AA20" s="12">
        <v>4000</v>
      </c>
      <c r="AB20" s="38">
        <f t="shared" si="14"/>
        <v>0</v>
      </c>
      <c r="AC20" s="43">
        <f t="shared" si="15"/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9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35">
      <c r="A21" s="1"/>
      <c r="B21" s="62" t="s">
        <v>11</v>
      </c>
      <c r="C21" s="62"/>
      <c r="D21" s="63">
        <f ca="1">SUM(D19:D20)</f>
        <v>-5175</v>
      </c>
      <c r="E21" s="63">
        <f t="shared" ref="E21:K21" ca="1" si="46">SUM(E19:E20)</f>
        <v>-8873.7401142857161</v>
      </c>
      <c r="F21" s="63">
        <f t="shared" ca="1" si="46"/>
        <v>-5541.9826499999999</v>
      </c>
      <c r="G21" s="63">
        <f t="shared" ca="1" si="46"/>
        <v>-8506.2928605749985</v>
      </c>
      <c r="H21" s="63">
        <f t="shared" ca="1" si="46"/>
        <v>-8779.8616857311608</v>
      </c>
      <c r="I21" s="63">
        <f t="shared" ca="1" si="46"/>
        <v>-9063.0412049319275</v>
      </c>
      <c r="J21" s="63">
        <f t="shared" ca="1" si="46"/>
        <v>-9356.1977875688299</v>
      </c>
      <c r="K21" s="63">
        <f t="shared" ca="1" si="46"/>
        <v>-9659.7126999110224</v>
      </c>
      <c r="L21" s="63">
        <f t="shared" ref="L21:M21" ca="1" si="47">SUM(L19:L20)</f>
        <v>-9973.9827385899825</v>
      </c>
      <c r="M21" s="63">
        <f t="shared" ca="1" si="47"/>
        <v>-10299.420891799658</v>
      </c>
      <c r="N21" s="1"/>
      <c r="O21" s="1"/>
      <c r="P21" s="1"/>
      <c r="Q21" s="1" t="s">
        <v>46</v>
      </c>
      <c r="R21" s="66">
        <f ca="1">OFFSET(R21,,$R$5)</f>
        <v>0</v>
      </c>
      <c r="S21" s="1">
        <v>0</v>
      </c>
      <c r="T21" s="1">
        <v>0</v>
      </c>
      <c r="U21" s="1">
        <v>0</v>
      </c>
      <c r="V21" s="1">
        <v>1</v>
      </c>
      <c r="W21" s="29">
        <v>0</v>
      </c>
      <c r="X21" s="1">
        <v>0</v>
      </c>
      <c r="Y21" s="1">
        <v>0</v>
      </c>
      <c r="Z21" s="1">
        <v>0</v>
      </c>
      <c r="AA21" s="1">
        <v>1</v>
      </c>
      <c r="AB21" s="1">
        <f t="shared" si="14"/>
        <v>0</v>
      </c>
      <c r="AC21" s="40">
        <f t="shared" si="15"/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9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" thickBot="1" x14ac:dyDescent="0.4">
      <c r="A22" s="1"/>
      <c r="B22" s="22" t="s">
        <v>12</v>
      </c>
      <c r="C22" s="22"/>
      <c r="D22" s="23">
        <f ca="1">D15+D21</f>
        <v>425</v>
      </c>
      <c r="E22" s="23">
        <f t="shared" ref="E22:K22" ca="1" si="48">E15+E21</f>
        <v>493.93988571428417</v>
      </c>
      <c r="F22" s="23">
        <f t="shared" ca="1" si="48"/>
        <v>4251.9267899999995</v>
      </c>
      <c r="G22" s="23">
        <f t="shared" ca="1" si="48"/>
        <v>1733.2394589449996</v>
      </c>
      <c r="H22" s="23">
        <f t="shared" ca="1" si="48"/>
        <v>1925.5693543269972</v>
      </c>
      <c r="I22" s="23">
        <f t="shared" ca="1" si="48"/>
        <v>2129.4869474488769</v>
      </c>
      <c r="J22" s="23">
        <f t="shared" ca="1" si="48"/>
        <v>2345.5903957452992</v>
      </c>
      <c r="K22" s="23">
        <f t="shared" ca="1" si="48"/>
        <v>2574.5068457438992</v>
      </c>
      <c r="L22" s="23">
        <f t="shared" ref="L22:M22" ca="1" si="49">L15+L21</f>
        <v>2816.8937963922381</v>
      </c>
      <c r="M22" s="23">
        <f t="shared" ca="1" si="49"/>
        <v>3073.4405255242509</v>
      </c>
      <c r="N22" s="14"/>
      <c r="O22" s="1"/>
      <c r="P22" s="1"/>
      <c r="Q22" s="1" t="s">
        <v>35</v>
      </c>
      <c r="R22" s="66">
        <f ca="1">OFFSET(R22,,$R$5)</f>
        <v>1</v>
      </c>
      <c r="S22" s="1">
        <v>1</v>
      </c>
      <c r="T22" s="1">
        <v>1</v>
      </c>
      <c r="U22" s="1">
        <v>1</v>
      </c>
      <c r="V22" s="1">
        <v>0</v>
      </c>
      <c r="W22" s="29">
        <v>1</v>
      </c>
      <c r="X22" s="1">
        <v>0</v>
      </c>
      <c r="Y22" s="1">
        <v>0</v>
      </c>
      <c r="Z22" s="1">
        <v>0</v>
      </c>
      <c r="AA22" s="1">
        <v>0</v>
      </c>
      <c r="AB22" s="1">
        <f t="shared" si="14"/>
        <v>0</v>
      </c>
      <c r="AC22" s="40">
        <f t="shared" si="15"/>
        <v>1</v>
      </c>
      <c r="AD22" s="1">
        <f t="shared" ref="AD22:AO22" si="50">$S22</f>
        <v>1</v>
      </c>
      <c r="AE22" s="1">
        <f t="shared" si="50"/>
        <v>1</v>
      </c>
      <c r="AF22" s="1">
        <f t="shared" si="50"/>
        <v>1</v>
      </c>
      <c r="AG22" s="1">
        <f t="shared" si="50"/>
        <v>1</v>
      </c>
      <c r="AH22" s="1">
        <f t="shared" si="50"/>
        <v>1</v>
      </c>
      <c r="AI22" s="1">
        <f t="shared" si="50"/>
        <v>1</v>
      </c>
      <c r="AJ22" s="1">
        <f t="shared" si="50"/>
        <v>1</v>
      </c>
      <c r="AK22" s="1">
        <f t="shared" si="50"/>
        <v>1</v>
      </c>
      <c r="AL22" s="1">
        <f t="shared" si="50"/>
        <v>1</v>
      </c>
      <c r="AM22" s="1">
        <f t="shared" si="50"/>
        <v>1</v>
      </c>
      <c r="AN22" s="1">
        <f t="shared" si="50"/>
        <v>1</v>
      </c>
      <c r="AO22" s="29">
        <f t="shared" si="50"/>
        <v>1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</row>
    <row r="23" spans="1:54" x14ac:dyDescent="0.35">
      <c r="A23" s="1"/>
      <c r="B23" s="5" t="s">
        <v>14</v>
      </c>
      <c r="C23" s="1"/>
      <c r="D23" s="14">
        <f ca="1">D22/D15</f>
        <v>7.5892857142857137E-2</v>
      </c>
      <c r="E23" s="14">
        <f t="shared" ref="E23:K23" ca="1" si="51">E22/E15</f>
        <v>5.2728091236494433E-2</v>
      </c>
      <c r="F23" s="14">
        <f t="shared" ca="1" si="51"/>
        <v>0.43413989235334399</v>
      </c>
      <c r="G23" s="14">
        <f t="shared" ca="1" si="51"/>
        <v>0.16926939677126282</v>
      </c>
      <c r="H23" s="14">
        <f t="shared" ca="1" si="51"/>
        <v>0.1798684562183249</v>
      </c>
      <c r="I23" s="14">
        <f t="shared" ca="1" si="51"/>
        <v>0.19025969097034665</v>
      </c>
      <c r="J23" s="14">
        <f t="shared" ca="1" si="51"/>
        <v>0.20044717602134818</v>
      </c>
      <c r="K23" s="14">
        <f t="shared" ca="1" si="51"/>
        <v>0.21043490646350674</v>
      </c>
      <c r="L23" s="14">
        <f t="shared" ref="L23:M23" ca="1" si="52">L22/L15</f>
        <v>0.22022679905385809</v>
      </c>
      <c r="M23" s="14">
        <f t="shared" ca="1" si="52"/>
        <v>0.229826693750281</v>
      </c>
      <c r="N23" s="1"/>
      <c r="O23" s="1"/>
      <c r="P23" s="1"/>
      <c r="Q23" s="1" t="s">
        <v>39</v>
      </c>
      <c r="R23" s="9">
        <f ca="1">C38</f>
        <v>0.31182457459552881</v>
      </c>
      <c r="S23" s="9">
        <f>S28</f>
        <v>0.29949731215483544</v>
      </c>
      <c r="T23" s="9">
        <f t="shared" ref="T23:V23" si="53">T28</f>
        <v>0.40926666960512059</v>
      </c>
      <c r="U23" s="9">
        <f t="shared" si="53"/>
        <v>6.5301752129261814E-2</v>
      </c>
      <c r="V23" s="9">
        <f t="shared" si="53"/>
        <v>9.0594771078393199E-2</v>
      </c>
      <c r="W23" s="44">
        <v>0.02</v>
      </c>
      <c r="X23" s="1"/>
      <c r="Y23" s="1"/>
      <c r="Z23" s="1"/>
      <c r="AA23" s="1"/>
      <c r="AB23" s="29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9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35">
      <c r="A24" s="1"/>
      <c r="B24" s="5" t="s">
        <v>4</v>
      </c>
      <c r="C24" s="1"/>
      <c r="D24" s="1"/>
      <c r="E24" s="14">
        <f ca="1">E22/D22-1</f>
        <v>0.16221149579831562</v>
      </c>
      <c r="F24" s="14">
        <f t="shared" ref="F24:K24" ca="1" si="54">F22/E22-1</f>
        <v>7.6081867712531608</v>
      </c>
      <c r="G24" s="14">
        <f t="shared" ca="1" si="54"/>
        <v>-0.59236375776239558</v>
      </c>
      <c r="H24" s="14">
        <f t="shared" ca="1" si="54"/>
        <v>0.1109655647345269</v>
      </c>
      <c r="I24" s="14">
        <f t="shared" ca="1" si="54"/>
        <v>0.10589989535492506</v>
      </c>
      <c r="J24" s="14">
        <f t="shared" ca="1" si="54"/>
        <v>0.10148146179309259</v>
      </c>
      <c r="K24" s="14">
        <f t="shared" ca="1" si="54"/>
        <v>9.7594384089325636E-2</v>
      </c>
      <c r="L24" s="14">
        <f t="shared" ref="L24" ca="1" si="55">L22/K22-1</f>
        <v>9.4148885659032455E-2</v>
      </c>
      <c r="M24" s="14">
        <f t="shared" ref="M24" ca="1" si="56">M22/L22-1</f>
        <v>9.1074334950287161E-2</v>
      </c>
      <c r="N24" s="1"/>
      <c r="O24" s="1"/>
      <c r="P24" s="1"/>
      <c r="Q24" s="1" t="s">
        <v>43</v>
      </c>
      <c r="R24" s="12">
        <f ca="1">C39</f>
        <v>5472.5838907734787</v>
      </c>
      <c r="S24" s="12">
        <f t="shared" ref="S24:V25" si="57">S29</f>
        <v>1328.5532103910377</v>
      </c>
      <c r="T24" s="12">
        <f t="shared" si="57"/>
        <v>2149.8261382991027</v>
      </c>
      <c r="U24" s="12">
        <f t="shared" si="57"/>
        <v>-180.30977136188937</v>
      </c>
      <c r="V24" s="12">
        <f t="shared" si="57"/>
        <v>-16.471546635183358</v>
      </c>
      <c r="W24" s="45">
        <v>-190</v>
      </c>
      <c r="X24" s="1"/>
      <c r="Y24" s="1"/>
      <c r="Z24" s="1"/>
      <c r="AA24" s="1"/>
      <c r="AB24" s="29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9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 t="s">
        <v>41</v>
      </c>
      <c r="R25" s="35">
        <f>C40</f>
        <v>5</v>
      </c>
      <c r="S25" s="35">
        <f t="shared" si="57"/>
        <v>6</v>
      </c>
      <c r="T25" s="35">
        <f t="shared" si="57"/>
        <v>5</v>
      </c>
      <c r="U25" s="35" t="str">
        <f t="shared" si="57"/>
        <v>N/A</v>
      </c>
      <c r="V25" s="35" t="str">
        <f t="shared" si="57"/>
        <v>N/A</v>
      </c>
      <c r="W25" s="46" t="s">
        <v>48</v>
      </c>
      <c r="X25" s="1"/>
      <c r="Y25" s="1"/>
      <c r="Z25" s="1"/>
      <c r="AA25" s="1"/>
      <c r="AB25" s="29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9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35">
      <c r="A26" s="1"/>
      <c r="B26" s="18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9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A27" s="1"/>
      <c r="B27" s="16" t="s">
        <v>12</v>
      </c>
      <c r="C27" s="16">
        <f>C22</f>
        <v>0</v>
      </c>
      <c r="D27" s="19">
        <f ca="1">D22</f>
        <v>425</v>
      </c>
      <c r="E27" s="19">
        <f t="shared" ref="E27:K27" ca="1" si="58">E22</f>
        <v>493.93988571428417</v>
      </c>
      <c r="F27" s="19">
        <f t="shared" ca="1" si="58"/>
        <v>4251.9267899999995</v>
      </c>
      <c r="G27" s="19">
        <f t="shared" ca="1" si="58"/>
        <v>1733.2394589449996</v>
      </c>
      <c r="H27" s="19">
        <f t="shared" ca="1" si="58"/>
        <v>1925.5693543269972</v>
      </c>
      <c r="I27" s="19">
        <f t="shared" ca="1" si="58"/>
        <v>2129.4869474488769</v>
      </c>
      <c r="J27" s="19">
        <f t="shared" ca="1" si="58"/>
        <v>2345.5903957452992</v>
      </c>
      <c r="K27" s="19">
        <f t="shared" ca="1" si="58"/>
        <v>2574.5068457438992</v>
      </c>
      <c r="L27" s="19">
        <f t="shared" ref="L27" ca="1" si="59">L22</f>
        <v>2816.8937963922381</v>
      </c>
      <c r="M27" s="19">
        <f t="shared" ref="M27" ca="1" si="60">M22</f>
        <v>3073.4405255242509</v>
      </c>
      <c r="N27" s="1"/>
      <c r="O27" s="1"/>
      <c r="P27" s="1"/>
      <c r="Q27" s="1"/>
      <c r="R27" s="1">
        <v>1</v>
      </c>
      <c r="S27" s="1">
        <v>1</v>
      </c>
      <c r="T27" s="1">
        <f t="shared" ref="T27:BB27" si="61">S27+1</f>
        <v>2</v>
      </c>
      <c r="U27" s="1">
        <f t="shared" si="61"/>
        <v>3</v>
      </c>
      <c r="V27" s="1">
        <f>U27+1</f>
        <v>4</v>
      </c>
      <c r="W27" s="1">
        <f>V27+1</f>
        <v>5</v>
      </c>
      <c r="X27" s="1">
        <f t="shared" si="61"/>
        <v>6</v>
      </c>
      <c r="Y27" s="1">
        <f t="shared" si="61"/>
        <v>7</v>
      </c>
      <c r="Z27" s="1">
        <f t="shared" si="61"/>
        <v>8</v>
      </c>
      <c r="AA27" s="1">
        <f t="shared" si="61"/>
        <v>9</v>
      </c>
      <c r="AB27" s="1">
        <f t="shared" si="61"/>
        <v>10</v>
      </c>
      <c r="AC27" s="1">
        <f t="shared" si="61"/>
        <v>11</v>
      </c>
      <c r="AD27" s="1">
        <f t="shared" si="61"/>
        <v>12</v>
      </c>
      <c r="AE27" s="1">
        <f t="shared" si="61"/>
        <v>13</v>
      </c>
      <c r="AF27" s="1">
        <f t="shared" si="61"/>
        <v>14</v>
      </c>
      <c r="AG27" s="1">
        <f t="shared" si="61"/>
        <v>15</v>
      </c>
      <c r="AH27" s="1">
        <f t="shared" si="61"/>
        <v>16</v>
      </c>
      <c r="AI27" s="1">
        <f t="shared" si="61"/>
        <v>17</v>
      </c>
      <c r="AJ27" s="1">
        <f t="shared" si="61"/>
        <v>18</v>
      </c>
      <c r="AK27" s="1">
        <f t="shared" si="61"/>
        <v>19</v>
      </c>
      <c r="AL27" s="1">
        <f t="shared" si="61"/>
        <v>20</v>
      </c>
      <c r="AM27" s="1">
        <f t="shared" si="61"/>
        <v>21</v>
      </c>
      <c r="AN27" s="1">
        <f t="shared" si="61"/>
        <v>22</v>
      </c>
      <c r="AO27" s="1">
        <f t="shared" si="61"/>
        <v>23</v>
      </c>
      <c r="AP27" s="1">
        <f t="shared" si="61"/>
        <v>24</v>
      </c>
      <c r="AQ27" s="1">
        <f t="shared" si="61"/>
        <v>25</v>
      </c>
      <c r="AR27" s="1">
        <f t="shared" si="61"/>
        <v>26</v>
      </c>
      <c r="AS27" s="1">
        <f t="shared" si="61"/>
        <v>27</v>
      </c>
      <c r="AT27" s="1">
        <f t="shared" si="61"/>
        <v>28</v>
      </c>
      <c r="AU27" s="1">
        <f t="shared" si="61"/>
        <v>29</v>
      </c>
      <c r="AV27" s="1">
        <f t="shared" si="61"/>
        <v>30</v>
      </c>
      <c r="AW27" s="1">
        <f t="shared" si="61"/>
        <v>31</v>
      </c>
      <c r="AX27" s="1">
        <f t="shared" si="61"/>
        <v>32</v>
      </c>
      <c r="AY27" s="1">
        <f t="shared" si="61"/>
        <v>33</v>
      </c>
      <c r="AZ27" s="1">
        <f t="shared" si="61"/>
        <v>34</v>
      </c>
      <c r="BA27" s="1">
        <f t="shared" si="61"/>
        <v>35</v>
      </c>
      <c r="BB27" s="1">
        <f t="shared" si="61"/>
        <v>36</v>
      </c>
    </row>
    <row r="28" spans="1:54" x14ac:dyDescent="0.35">
      <c r="A28" s="1"/>
      <c r="B28" s="1" t="s">
        <v>16</v>
      </c>
      <c r="C28" s="1"/>
      <c r="D28" s="12">
        <f t="shared" ref="D28:M28" ca="1" si="62">-MAX(SUM(D27+D47)*30%,0)</f>
        <v>-73.5</v>
      </c>
      <c r="E28" s="12">
        <f t="shared" ca="1" si="62"/>
        <v>-103.18196571428525</v>
      </c>
      <c r="F28" s="12">
        <f t="shared" ca="1" si="62"/>
        <v>-1239.5780369999998</v>
      </c>
      <c r="G28" s="12">
        <f t="shared" ca="1" si="62"/>
        <v>-489.97183768349987</v>
      </c>
      <c r="H28" s="12">
        <f t="shared" ca="1" si="62"/>
        <v>-553.67080629809914</v>
      </c>
      <c r="I28" s="12">
        <f t="shared" ca="1" si="62"/>
        <v>-617.84608423466307</v>
      </c>
      <c r="J28" s="12">
        <f t="shared" ca="1" si="62"/>
        <v>-687.17711872358973</v>
      </c>
      <c r="K28" s="12">
        <f t="shared" ca="1" si="62"/>
        <v>-758.85205372316977</v>
      </c>
      <c r="L28" s="12">
        <f t="shared" ca="1" si="62"/>
        <v>-831.56813891767138</v>
      </c>
      <c r="M28" s="12">
        <f t="shared" ca="1" si="62"/>
        <v>-908.53215765727521</v>
      </c>
      <c r="N28" s="1"/>
      <c r="O28" s="1"/>
      <c r="P28" s="1"/>
      <c r="Q28" s="1" t="str">
        <f>Q23</f>
        <v>IRR</v>
      </c>
      <c r="R28" s="9">
        <f ca="1">R23</f>
        <v>0.31182457459552881</v>
      </c>
      <c r="S28" s="9">
        <v>0.29949731215483544</v>
      </c>
      <c r="T28" s="9">
        <v>0.40926666960512059</v>
      </c>
      <c r="U28" s="9">
        <v>6.5301752129261814E-2</v>
      </c>
      <c r="V28" s="9">
        <v>9.0594771078393199E-2</v>
      </c>
      <c r="W28" s="9">
        <v>-4.8844427267189627E-2</v>
      </c>
      <c r="X28" s="9">
        <v>0.11600819037831123</v>
      </c>
      <c r="Y28" s="9">
        <v>0.28254046741722627</v>
      </c>
      <c r="Z28" s="9">
        <v>-0.19396306928512319</v>
      </c>
      <c r="AA28" s="9">
        <v>-0.20595661676065957</v>
      </c>
      <c r="AB28" s="9">
        <v>0.41252188943688739</v>
      </c>
      <c r="AC28" s="9">
        <v>0.33787763987684127</v>
      </c>
      <c r="AD28" s="9">
        <v>0.32213868134996093</v>
      </c>
      <c r="AE28" s="9">
        <v>0.37870607572891135</v>
      </c>
      <c r="AF28" s="9">
        <v>0.32110339144860345</v>
      </c>
      <c r="AG28" s="9">
        <v>0.32864629680314694</v>
      </c>
      <c r="AH28" s="9">
        <v>0.32205612901944081</v>
      </c>
      <c r="AI28" s="9">
        <v>0.31843793139917476</v>
      </c>
      <c r="AJ28" s="9">
        <v>0.27296537148167532</v>
      </c>
      <c r="AK28" s="9">
        <v>0.28243477763929903</v>
      </c>
      <c r="AL28" s="9">
        <v>0.28755722207761258</v>
      </c>
      <c r="AM28" s="9">
        <v>0.28413459710195066</v>
      </c>
      <c r="AN28" s="9">
        <v>0.32871272016412911</v>
      </c>
      <c r="AO28" s="9">
        <v>0.29949731215483544</v>
      </c>
      <c r="AP28" s="9">
        <v>0.15357245483836057</v>
      </c>
      <c r="AQ28" s="9">
        <v>0.14396128256088758</v>
      </c>
      <c r="AR28" s="9">
        <v>0.20574684735874738</v>
      </c>
      <c r="AS28" s="9">
        <v>0.14382973022328982</v>
      </c>
      <c r="AT28" s="9">
        <v>0.14341732443232558</v>
      </c>
      <c r="AU28" s="9">
        <v>0.12246613986042321</v>
      </c>
      <c r="AV28" s="9">
        <v>0.12192839773290554</v>
      </c>
      <c r="AW28" s="9">
        <v>0.10935567570642735</v>
      </c>
      <c r="AX28" s="9">
        <v>9.2145944913483824E-2</v>
      </c>
      <c r="AY28" s="9">
        <v>0.11440356162228227</v>
      </c>
      <c r="AZ28" s="9">
        <v>0.11444169831946827</v>
      </c>
      <c r="BA28" s="9">
        <v>0.11676783522843648</v>
      </c>
      <c r="BB28" s="9">
        <v>0.11600819037831123</v>
      </c>
    </row>
    <row r="29" spans="1:54" x14ac:dyDescent="0.35">
      <c r="A29" s="1"/>
      <c r="B29" s="1" t="s">
        <v>17</v>
      </c>
      <c r="C29" s="12">
        <f ca="1">-R16</f>
        <v>-1000</v>
      </c>
      <c r="E29" s="12">
        <v>-5000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str">
        <f t="shared" ref="Q29:R30" si="63">Q24</f>
        <v xml:space="preserve">NPV </v>
      </c>
      <c r="R29" s="12">
        <f t="shared" ca="1" si="63"/>
        <v>5472.5838907734787</v>
      </c>
      <c r="S29" s="12">
        <v>1328.5532103910377</v>
      </c>
      <c r="T29" s="12">
        <v>2149.8261382991027</v>
      </c>
      <c r="U29" s="12">
        <v>-180.30977136188937</v>
      </c>
      <c r="V29" s="12">
        <v>-16.471546635183358</v>
      </c>
      <c r="W29" s="12">
        <v>-629.9906086614842</v>
      </c>
      <c r="X29" s="12">
        <v>460.78248480411185</v>
      </c>
      <c r="Y29" s="12">
        <v>6231.8498199977257</v>
      </c>
      <c r="Z29" s="12">
        <v>-6263.5561088871982</v>
      </c>
      <c r="AA29" s="12">
        <v>-2550.72160566706</v>
      </c>
      <c r="AB29" s="12">
        <v>12002.917155191331</v>
      </c>
      <c r="AC29" s="12">
        <v>1621.3537625951903</v>
      </c>
      <c r="AD29" s="12">
        <v>1555.6670047162679</v>
      </c>
      <c r="AE29" s="12">
        <v>1961.6655189957241</v>
      </c>
      <c r="AF29" s="12">
        <v>1540.3108448295739</v>
      </c>
      <c r="AG29" s="12">
        <v>1454.3796566720289</v>
      </c>
      <c r="AH29" s="12">
        <v>1457.6964927179943</v>
      </c>
      <c r="AI29" s="12">
        <v>1506.1519829600056</v>
      </c>
      <c r="AJ29" s="12">
        <v>1143.0461417202027</v>
      </c>
      <c r="AK29" s="12">
        <v>1178.124926756223</v>
      </c>
      <c r="AL29" s="12">
        <v>1287.3201979458941</v>
      </c>
      <c r="AM29" s="12">
        <v>1286.5942747336953</v>
      </c>
      <c r="AN29" s="12">
        <v>1771.7352215902838</v>
      </c>
      <c r="AO29" s="12">
        <v>1216.7252575620009</v>
      </c>
      <c r="AP29" s="12">
        <v>1587.0083519210339</v>
      </c>
      <c r="AQ29" s="12">
        <v>1339.9803341273973</v>
      </c>
      <c r="AR29" s="12">
        <v>3346.3161524009192</v>
      </c>
      <c r="AS29" s="12">
        <v>1335.6104426361881</v>
      </c>
      <c r="AT29" s="12">
        <v>1175.1791790189873</v>
      </c>
      <c r="AU29" s="12">
        <v>644.34854079245633</v>
      </c>
      <c r="AV29" s="12">
        <v>638.38125737307837</v>
      </c>
      <c r="AW29" s="12">
        <v>268.45723431509214</v>
      </c>
      <c r="AX29" s="12">
        <v>-216.14479155256595</v>
      </c>
      <c r="AY29" s="12">
        <v>417.09492690442312</v>
      </c>
      <c r="AZ29" s="12">
        <v>420.67478881619081</v>
      </c>
      <c r="BA29" s="12">
        <v>484.10785381459755</v>
      </c>
      <c r="BB29" s="12">
        <v>167.1830363714198</v>
      </c>
    </row>
    <row r="30" spans="1:54" x14ac:dyDescent="0.35">
      <c r="A30" s="1"/>
      <c r="B30" s="1" t="s">
        <v>18</v>
      </c>
      <c r="C30" s="1"/>
      <c r="D30" s="17">
        <f ca="1">-D48</f>
        <v>-280</v>
      </c>
      <c r="E30" s="17">
        <f ca="1">-(E48-D48)</f>
        <v>-188.38400000000001</v>
      </c>
      <c r="F30" s="17">
        <f t="shared" ref="F30:K30" ca="1" si="64">-(F48-E48)</f>
        <v>-21.311471999999981</v>
      </c>
      <c r="G30" s="17">
        <f t="shared" ca="1" si="64"/>
        <v>-22.281143975999953</v>
      </c>
      <c r="H30" s="17">
        <f t="shared" ca="1" si="64"/>
        <v>-23.294936026907976</v>
      </c>
      <c r="I30" s="17">
        <f t="shared" ca="1" si="64"/>
        <v>-24.35485561613234</v>
      </c>
      <c r="J30" s="17">
        <f t="shared" ca="1" si="64"/>
        <v>-25.463001546666192</v>
      </c>
      <c r="K30" s="17">
        <f t="shared" ca="1" si="64"/>
        <v>-26.621568117039601</v>
      </c>
      <c r="L30" s="17">
        <f ca="1">-(L48-K48)</f>
        <v>-27.832849466365019</v>
      </c>
      <c r="M30" s="17">
        <f t="shared" ref="M30" ca="1" si="65">-(M48-L48)</f>
        <v>-29.099244117084481</v>
      </c>
      <c r="N30" s="1"/>
      <c r="O30" s="1"/>
      <c r="P30" s="1"/>
      <c r="Q30" s="1" t="str">
        <f t="shared" si="63"/>
        <v>Payback Period</v>
      </c>
      <c r="R30" s="12">
        <f t="shared" si="63"/>
        <v>5</v>
      </c>
      <c r="S30" s="37">
        <v>6</v>
      </c>
      <c r="T30" s="37">
        <v>5</v>
      </c>
      <c r="U30" s="37" t="s">
        <v>48</v>
      </c>
      <c r="V30" s="37" t="s">
        <v>48</v>
      </c>
      <c r="W30" s="37" t="s">
        <v>48</v>
      </c>
      <c r="X30" s="37" t="s">
        <v>48</v>
      </c>
      <c r="Y30" s="37">
        <v>6</v>
      </c>
      <c r="Z30" s="37" t="s">
        <v>48</v>
      </c>
      <c r="AA30" s="37" t="s">
        <v>48</v>
      </c>
      <c r="AB30" s="37">
        <v>5</v>
      </c>
      <c r="AC30" s="37">
        <v>6</v>
      </c>
      <c r="AD30" s="37">
        <v>6</v>
      </c>
      <c r="AE30" s="37">
        <v>5</v>
      </c>
      <c r="AF30" s="37">
        <v>6</v>
      </c>
      <c r="AG30" s="37">
        <v>6</v>
      </c>
      <c r="AH30" s="37">
        <v>6</v>
      </c>
      <c r="AI30" s="37">
        <v>6</v>
      </c>
      <c r="AJ30" s="37">
        <v>7</v>
      </c>
      <c r="AK30" s="37">
        <v>7</v>
      </c>
      <c r="AL30" s="37">
        <v>6</v>
      </c>
      <c r="AM30" s="37">
        <v>7</v>
      </c>
      <c r="AN30" s="37">
        <v>6</v>
      </c>
      <c r="AO30" s="37">
        <v>6</v>
      </c>
      <c r="AP30" s="37">
        <v>8</v>
      </c>
      <c r="AQ30" s="37">
        <v>8</v>
      </c>
      <c r="AR30" s="37">
        <v>7</v>
      </c>
      <c r="AS30" s="37">
        <v>8</v>
      </c>
      <c r="AT30" s="37">
        <v>8</v>
      </c>
      <c r="AU30" s="37">
        <v>8</v>
      </c>
      <c r="AV30" s="37">
        <v>8</v>
      </c>
      <c r="AW30" s="37" t="s">
        <v>48</v>
      </c>
      <c r="AX30" s="37" t="s">
        <v>48</v>
      </c>
      <c r="AY30" s="37" t="s">
        <v>48</v>
      </c>
      <c r="AZ30" s="37" t="s">
        <v>48</v>
      </c>
      <c r="BA30" s="37" t="s">
        <v>48</v>
      </c>
      <c r="BB30" s="37" t="s">
        <v>48</v>
      </c>
    </row>
    <row r="31" spans="1:54" x14ac:dyDescent="0.35">
      <c r="A31" s="1"/>
      <c r="B31" s="1" t="s">
        <v>19</v>
      </c>
      <c r="C31" s="1"/>
      <c r="D31" s="1"/>
      <c r="E31" s="15"/>
      <c r="F31" s="1"/>
      <c r="G31" s="1"/>
      <c r="H31" s="1"/>
      <c r="I31" s="1"/>
      <c r="J31" s="1"/>
      <c r="K31" s="17"/>
      <c r="L31" s="17"/>
      <c r="M31" s="17">
        <f ca="1">M48</f>
        <v>668.64307086619556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3">
        <f t="shared" ref="AC31:AN31" si="66">ABS(AC28-$S$28)</f>
        <v>3.8380327722005836E-2</v>
      </c>
      <c r="AD31" s="13">
        <f t="shared" si="66"/>
        <v>2.2641369195125494E-2</v>
      </c>
      <c r="AE31" s="13">
        <f t="shared" si="66"/>
        <v>7.9208763574075913E-2</v>
      </c>
      <c r="AF31" s="13">
        <f t="shared" si="66"/>
        <v>2.160607929376801E-2</v>
      </c>
      <c r="AG31" s="13">
        <f t="shared" si="66"/>
        <v>2.9148984648311504E-2</v>
      </c>
      <c r="AH31" s="13">
        <f t="shared" si="66"/>
        <v>2.2558816864605369E-2</v>
      </c>
      <c r="AI31" s="13">
        <f t="shared" si="66"/>
        <v>1.8940619244339318E-2</v>
      </c>
      <c r="AJ31" s="13">
        <f t="shared" si="66"/>
        <v>2.6531940673160115E-2</v>
      </c>
      <c r="AK31" s="13">
        <f t="shared" si="66"/>
        <v>1.7062534515536409E-2</v>
      </c>
      <c r="AL31" s="13">
        <f t="shared" si="66"/>
        <v>1.1940090077222854E-2</v>
      </c>
      <c r="AM31" s="13">
        <f t="shared" si="66"/>
        <v>1.5362715052884779E-2</v>
      </c>
      <c r="AN31" s="13">
        <f t="shared" si="66"/>
        <v>2.9215408009293675E-2</v>
      </c>
      <c r="AO31" s="14">
        <f>ABS(AO29-$S$29)/10000</f>
        <v>1.118279528290368E-2</v>
      </c>
      <c r="AP31" s="13">
        <f>ABS(AP28-$X$28)</f>
        <v>3.7564264460049346E-2</v>
      </c>
      <c r="AQ31" s="13">
        <f t="shared" ref="AQ31:BA31" si="67">ABS(AQ28-$X$28)</f>
        <v>2.7953092182576356E-2</v>
      </c>
      <c r="AR31" s="13">
        <f t="shared" si="67"/>
        <v>8.9738656980436149E-2</v>
      </c>
      <c r="AS31" s="13">
        <f t="shared" si="67"/>
        <v>2.7821539844978593E-2</v>
      </c>
      <c r="AT31" s="13">
        <f t="shared" si="67"/>
        <v>2.740913405401435E-2</v>
      </c>
      <c r="AU31" s="13">
        <f t="shared" si="67"/>
        <v>6.4579494821119798E-3</v>
      </c>
      <c r="AV31" s="13">
        <f t="shared" si="67"/>
        <v>5.920207354594309E-3</v>
      </c>
      <c r="AW31" s="13">
        <f t="shared" si="67"/>
        <v>6.6525146718838801E-3</v>
      </c>
      <c r="AX31" s="13">
        <f t="shared" si="67"/>
        <v>2.3862245464827403E-2</v>
      </c>
      <c r="AY31" s="13">
        <f t="shared" si="67"/>
        <v>1.6046287560289585E-3</v>
      </c>
      <c r="AZ31" s="13">
        <f t="shared" si="67"/>
        <v>1.5664920588429609E-3</v>
      </c>
      <c r="BA31" s="13">
        <f t="shared" si="67"/>
        <v>7.5964485012525174E-4</v>
      </c>
      <c r="BB31" s="14">
        <f>ABS(BB29-$X$29)/10000</f>
        <v>2.9359944843269203E-2</v>
      </c>
    </row>
    <row r="32" spans="1:54" x14ac:dyDescent="0.35">
      <c r="A32" s="1"/>
      <c r="B32" s="1" t="s">
        <v>28</v>
      </c>
      <c r="C32" s="1"/>
      <c r="D32" s="1"/>
      <c r="E32" s="1"/>
      <c r="F32" s="1">
        <v>650</v>
      </c>
      <c r="G32" s="1"/>
      <c r="H32" s="1"/>
      <c r="I32" s="1"/>
      <c r="J32" s="1"/>
      <c r="K32" s="17"/>
      <c r="L32" s="17"/>
      <c r="M32" s="17">
        <v>4000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35">
      <c r="A33" s="1"/>
      <c r="B33" s="55" t="s">
        <v>20</v>
      </c>
      <c r="C33" s="56">
        <f ca="1">SUM(C27:C32)</f>
        <v>-1000</v>
      </c>
      <c r="D33" s="56">
        <f ca="1">SUM(D27:D32)</f>
        <v>71.5</v>
      </c>
      <c r="E33" s="56">
        <f ca="1">SUM(E27:E32)</f>
        <v>-4797.6260800000009</v>
      </c>
      <c r="F33" s="56">
        <f t="shared" ref="F33:M33" ca="1" si="68">SUM(F27:F32)</f>
        <v>3641.0372809999999</v>
      </c>
      <c r="G33" s="56">
        <f t="shared" ca="1" si="68"/>
        <v>1220.9864772854999</v>
      </c>
      <c r="H33" s="56">
        <f t="shared" ca="1" si="68"/>
        <v>1348.6036120019899</v>
      </c>
      <c r="I33" s="56">
        <f ca="1">SUM(I27:I32)</f>
        <v>1487.2860075980816</v>
      </c>
      <c r="J33" s="56">
        <f t="shared" ca="1" si="68"/>
        <v>1632.9502754750433</v>
      </c>
      <c r="K33" s="56">
        <f t="shared" ca="1" si="68"/>
        <v>1789.0332239036898</v>
      </c>
      <c r="L33" s="56">
        <f t="shared" ca="1" si="68"/>
        <v>1957.4928080082018</v>
      </c>
      <c r="M33" s="56">
        <f t="shared" ca="1" si="68"/>
        <v>6804.4521946160867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35">
      <c r="A34" s="1"/>
      <c r="B34" s="1"/>
      <c r="C34" s="1"/>
      <c r="D34" s="17">
        <f ca="1">SUM($C$33:D33)</f>
        <v>-928.5</v>
      </c>
      <c r="E34" s="17">
        <f ca="1">SUM($C$33:E33)</f>
        <v>-5726.1260800000009</v>
      </c>
      <c r="F34" s="17">
        <f ca="1">SUM($C$33:F33)</f>
        <v>-2085.088799000001</v>
      </c>
      <c r="G34" s="17">
        <f ca="1">SUM($C$33:G33)</f>
        <v>-864.10232171450116</v>
      </c>
      <c r="H34" s="17">
        <f ca="1">SUM($C$33:H33)</f>
        <v>484.5012902874887</v>
      </c>
      <c r="I34" s="17">
        <f ca="1">SUM($C$33:I33)</f>
        <v>1971.7872978855703</v>
      </c>
      <c r="J34" s="17">
        <f ca="1">SUM($C$33:J33)</f>
        <v>3604.7375733606136</v>
      </c>
      <c r="K34" s="17">
        <f ca="1">SUM($C$33:K33)</f>
        <v>5393.7707972643038</v>
      </c>
      <c r="L34" s="17">
        <f ca="1">SUM($C$33:L33)</f>
        <v>7351.2636052725056</v>
      </c>
      <c r="M34" s="17">
        <f ca="1">SUM($C$33:M33)</f>
        <v>14155.715799888592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35">
      <c r="A35" s="1"/>
      <c r="B35" s="1"/>
      <c r="C35" s="1"/>
      <c r="D35" s="1" cm="1">
        <f t="array" aca="1" ref="D35" ca="1">IF(AND(D34&gt;-$C$33,$B$35:C35=0),D2,0)</f>
        <v>0</v>
      </c>
      <c r="E35" s="1" cm="1">
        <f t="array" aca="1" ref="E35" ca="1">IF(AND(E34&gt;-$C$33,$B$35:D35=0),E2,0)</f>
        <v>0</v>
      </c>
      <c r="F35" s="1" cm="1">
        <f t="array" aca="1" ref="F35" ca="1">IF(AND(F34&gt;-$C$33,$B$35:E35=0),F2,0)</f>
        <v>0</v>
      </c>
      <c r="G35" s="1" cm="1">
        <f t="array" aca="1" ref="G35" ca="1">IF(AND(G34&gt;-$C$33,$B$35:F35=0),G2,0)</f>
        <v>0</v>
      </c>
      <c r="H35" s="1" cm="1">
        <f t="array" aca="1" ref="H35" ca="1">IF(AND(H34&gt;-$C$33,$B$35:G35=0),H2,0)</f>
        <v>0</v>
      </c>
      <c r="I35" s="1" cm="1">
        <f t="array" aca="1" ref="I35" ca="1">IF(AND(I34&gt;-$C$33,$B$35:H35=0),I2,0)</f>
        <v>0</v>
      </c>
      <c r="J35" s="1" cm="1">
        <f t="array" aca="1" ref="J35" ca="1">IF(AND(J34&gt;-$C$33,$B$35:I35=0),J2,0)</f>
        <v>0</v>
      </c>
      <c r="K35" s="1" cm="1">
        <f t="array" aca="1" ref="K35" ca="1">IF(AND(K34&gt;-$C$33,$B$35:J35=0),K2,0)</f>
        <v>0</v>
      </c>
      <c r="L35" s="1" cm="1">
        <f t="array" aca="1" ref="L35" ca="1">IF(AND(L34&gt;-$C$33,$B$35:K35=0),L2,0)</f>
        <v>0</v>
      </c>
      <c r="M35" s="1" cm="1">
        <f t="array" aca="1" ref="M35" ca="1">IF(AND(M34&gt;-$C$33,$B$35:L35=0),M2,0)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35">
      <c r="A38" s="1"/>
      <c r="B38" s="25" t="s">
        <v>39</v>
      </c>
      <c r="C38" s="24">
        <f ca="1">IRR(C33:M33)</f>
        <v>0.31182457459552881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35">
      <c r="A39" s="1"/>
      <c r="B39" s="26" t="s">
        <v>40</v>
      </c>
      <c r="C39" s="28">
        <f ca="1">NPV($R$19,D33:M33)+C33</f>
        <v>5472.5838907734787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35">
      <c r="A40" s="1"/>
      <c r="B40" s="27" t="s">
        <v>41</v>
      </c>
      <c r="C40" s="34">
        <v>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35">
      <c r="M41" s="1"/>
      <c r="Q41" s="1"/>
      <c r="R41" s="1"/>
      <c r="S41" s="1"/>
      <c r="T41" s="1"/>
      <c r="U41" s="1"/>
      <c r="V41" s="1"/>
      <c r="W41" s="1"/>
      <c r="X41" s="1"/>
    </row>
    <row r="42" spans="1:54" x14ac:dyDescent="0.35">
      <c r="M42" s="1"/>
      <c r="Q42" s="1"/>
      <c r="R42" s="1"/>
      <c r="S42" s="1"/>
      <c r="T42" s="1"/>
      <c r="U42" s="1"/>
      <c r="V42" s="1"/>
      <c r="W42" s="1"/>
      <c r="X42" s="1"/>
    </row>
    <row r="43" spans="1:54" x14ac:dyDescent="0.35">
      <c r="Q43" s="1"/>
      <c r="R43" s="1"/>
      <c r="S43" s="1"/>
      <c r="T43" s="1"/>
      <c r="U43" s="1"/>
      <c r="V43" s="1"/>
      <c r="W43" s="1"/>
      <c r="X43" s="1"/>
    </row>
    <row r="44" spans="1:54" x14ac:dyDescent="0.35">
      <c r="B44" s="1" t="s">
        <v>36</v>
      </c>
      <c r="C44" s="1"/>
      <c r="D44" s="14">
        <f ca="1">$R$12</f>
        <v>0.8169642857142857</v>
      </c>
      <c r="E44" s="14">
        <f ca="1">D44+($K44-$D44)/7</f>
        <v>0.81596938775510208</v>
      </c>
      <c r="F44" s="14">
        <f t="shared" ref="F44:J44" ca="1" si="69">E44+($K44-$D44)/7</f>
        <v>0.81497448979591847</v>
      </c>
      <c r="G44" s="14">
        <f t="shared" ca="1" si="69"/>
        <v>0.81397959183673485</v>
      </c>
      <c r="H44" s="14">
        <f t="shared" ca="1" si="69"/>
        <v>0.81298469387755123</v>
      </c>
      <c r="I44" s="14">
        <f t="shared" ca="1" si="69"/>
        <v>0.81198979591836762</v>
      </c>
      <c r="J44" s="14">
        <f t="shared" ca="1" si="69"/>
        <v>0.810994897959184</v>
      </c>
      <c r="K44" s="1">
        <f ca="1">$R$13</f>
        <v>0.81</v>
      </c>
      <c r="L44" s="1">
        <f t="shared" ref="L44:M44" ca="1" si="70">$R$13</f>
        <v>0.81</v>
      </c>
      <c r="M44" s="1">
        <f t="shared" ca="1" si="70"/>
        <v>0.81</v>
      </c>
    </row>
    <row r="45" spans="1:54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54" x14ac:dyDescent="0.35">
      <c r="B46" s="1" t="s">
        <v>37</v>
      </c>
      <c r="C46" s="1"/>
      <c r="D46" s="9">
        <v>0.18</v>
      </c>
      <c r="E46" s="9">
        <v>0.15</v>
      </c>
      <c r="F46" s="9">
        <v>0.12</v>
      </c>
      <c r="G46" s="9">
        <v>0.1</v>
      </c>
      <c r="H46" s="9">
        <v>0.08</v>
      </c>
      <c r="I46" s="9">
        <v>7.0000000000000007E-2</v>
      </c>
      <c r="J46" s="9">
        <v>5.5E-2</v>
      </c>
      <c r="K46" s="9">
        <v>4.4999999999999998E-2</v>
      </c>
      <c r="L46" s="9">
        <v>4.4999999999999998E-2</v>
      </c>
      <c r="M46" s="9">
        <v>4.4999999999999998E-2</v>
      </c>
    </row>
    <row r="47" spans="1:54" x14ac:dyDescent="0.35">
      <c r="B47" s="1" t="s">
        <v>38</v>
      </c>
      <c r="C47" s="1"/>
      <c r="D47" s="1">
        <f ca="1">D46*$C$29</f>
        <v>-180</v>
      </c>
      <c r="E47" s="1">
        <f t="shared" ref="E47:K47" ca="1" si="71">E46*$C$29</f>
        <v>-150</v>
      </c>
      <c r="F47" s="1">
        <f t="shared" ca="1" si="71"/>
        <v>-120</v>
      </c>
      <c r="G47" s="1">
        <f t="shared" ca="1" si="71"/>
        <v>-100</v>
      </c>
      <c r="H47" s="1">
        <f t="shared" ca="1" si="71"/>
        <v>-80</v>
      </c>
      <c r="I47" s="1">
        <f t="shared" ca="1" si="71"/>
        <v>-70</v>
      </c>
      <c r="J47" s="1">
        <f t="shared" ca="1" si="71"/>
        <v>-55</v>
      </c>
      <c r="K47" s="1">
        <f t="shared" ca="1" si="71"/>
        <v>-45</v>
      </c>
      <c r="L47" s="1">
        <f t="shared" ref="L47" ca="1" si="72">L46*$C$29</f>
        <v>-45</v>
      </c>
      <c r="M47" s="1">
        <f t="shared" ref="M47" ca="1" si="73">M46*$C$29</f>
        <v>-45</v>
      </c>
    </row>
    <row r="48" spans="1:54" x14ac:dyDescent="0.35">
      <c r="B48" s="1" t="s">
        <v>18</v>
      </c>
      <c r="C48" s="1"/>
      <c r="D48" s="17">
        <f ca="1">D15*$R$17</f>
        <v>280</v>
      </c>
      <c r="E48" s="17">
        <f t="shared" ref="E48:K48" ca="1" si="74">E15*$R$17</f>
        <v>468.38400000000001</v>
      </c>
      <c r="F48" s="17">
        <f t="shared" ca="1" si="74"/>
        <v>489.695472</v>
      </c>
      <c r="G48" s="17">
        <f t="shared" ca="1" si="74"/>
        <v>511.97661597599995</v>
      </c>
      <c r="H48" s="17">
        <f t="shared" ca="1" si="74"/>
        <v>535.27155200290792</v>
      </c>
      <c r="I48" s="17">
        <f t="shared" ca="1" si="74"/>
        <v>559.62640761904026</v>
      </c>
      <c r="J48" s="17">
        <f t="shared" ca="1" si="74"/>
        <v>585.08940916570646</v>
      </c>
      <c r="K48" s="17">
        <f t="shared" ca="1" si="74"/>
        <v>611.71097728274606</v>
      </c>
      <c r="L48" s="17">
        <f t="shared" ref="L48:M48" ca="1" si="75">L15*$R$17</f>
        <v>639.54382674911108</v>
      </c>
      <c r="M48" s="17">
        <f t="shared" ca="1" si="75"/>
        <v>668.64307086619556</v>
      </c>
    </row>
    <row r="55" spans="2:11" ht="17" x14ac:dyDescent="0.6">
      <c r="B55" s="53" t="s">
        <v>2</v>
      </c>
      <c r="C55" s="54">
        <v>44196</v>
      </c>
      <c r="D55" s="54">
        <f>C55+365</f>
        <v>44561</v>
      </c>
      <c r="E55" s="54">
        <f t="shared" ref="E55:K55" si="76">D55+365</f>
        <v>44926</v>
      </c>
      <c r="F55" s="54">
        <f t="shared" si="76"/>
        <v>45291</v>
      </c>
      <c r="G55" s="54">
        <f t="shared" si="76"/>
        <v>45656</v>
      </c>
      <c r="H55" s="54">
        <f t="shared" si="76"/>
        <v>46021</v>
      </c>
      <c r="I55" s="54">
        <f t="shared" si="76"/>
        <v>46386</v>
      </c>
      <c r="J55" s="54">
        <f t="shared" si="76"/>
        <v>46751</v>
      </c>
      <c r="K55" s="54">
        <f t="shared" si="76"/>
        <v>47116</v>
      </c>
    </row>
    <row r="56" spans="2:1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5">
      <c r="B57" s="55" t="s">
        <v>7</v>
      </c>
      <c r="C57" s="55"/>
      <c r="D57" s="56">
        <f t="shared" ref="D57:K57" ca="1" si="77">D15</f>
        <v>5600</v>
      </c>
      <c r="E57" s="56">
        <f t="shared" ca="1" si="77"/>
        <v>9367.68</v>
      </c>
      <c r="F57" s="56">
        <f t="shared" ca="1" si="77"/>
        <v>9793.9094399999994</v>
      </c>
      <c r="G57" s="56">
        <f t="shared" ca="1" si="77"/>
        <v>10239.532319519998</v>
      </c>
      <c r="H57" s="56">
        <f t="shared" ca="1" si="77"/>
        <v>10705.431040058158</v>
      </c>
      <c r="I57" s="56">
        <f t="shared" ca="1" si="77"/>
        <v>11192.528152380804</v>
      </c>
      <c r="J57" s="56">
        <f t="shared" ca="1" si="77"/>
        <v>11701.788183314129</v>
      </c>
      <c r="K57" s="56">
        <f t="shared" ca="1" si="77"/>
        <v>12234.219545654922</v>
      </c>
    </row>
    <row r="58" spans="2:11" x14ac:dyDescent="0.35">
      <c r="B58" s="6" t="s">
        <v>4</v>
      </c>
      <c r="C58" s="1"/>
      <c r="D58" s="1"/>
      <c r="E58" s="13">
        <f t="shared" ref="E58:K58" ca="1" si="78">E57/D57-1</f>
        <v>0.67280000000000006</v>
      </c>
      <c r="F58" s="13">
        <f t="shared" ca="1" si="78"/>
        <v>4.5499999999999874E-2</v>
      </c>
      <c r="G58" s="13">
        <f t="shared" ca="1" si="78"/>
        <v>4.5499999999999874E-2</v>
      </c>
      <c r="H58" s="13">
        <f t="shared" ca="1" si="78"/>
        <v>4.5500000000000096E-2</v>
      </c>
      <c r="I58" s="13">
        <f t="shared" ca="1" si="78"/>
        <v>4.5500000000000096E-2</v>
      </c>
      <c r="J58" s="13">
        <f t="shared" ca="1" si="78"/>
        <v>4.5499999999999874E-2</v>
      </c>
      <c r="K58" s="13">
        <f t="shared" ca="1" si="78"/>
        <v>4.5499999999999874E-2</v>
      </c>
    </row>
    <row r="59" spans="2:1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5">
      <c r="B60" s="5" t="s">
        <v>3</v>
      </c>
      <c r="C60" s="1"/>
      <c r="D60" s="1">
        <f ca="1">D7</f>
        <v>1120</v>
      </c>
      <c r="E60" s="12">
        <f ca="1">E7</f>
        <v>1142.4000000000001</v>
      </c>
      <c r="F60" s="12">
        <f t="shared" ref="F60:K61" ca="1" si="79">F7</f>
        <v>1165.248</v>
      </c>
      <c r="G60" s="12">
        <f t="shared" ca="1" si="79"/>
        <v>1188.55296</v>
      </c>
      <c r="H60" s="12">
        <f t="shared" ca="1" si="79"/>
        <v>1212.3240192000001</v>
      </c>
      <c r="I60" s="12">
        <f t="shared" ca="1" si="79"/>
        <v>1236.5704995840001</v>
      </c>
      <c r="J60" s="12">
        <f t="shared" ca="1" si="79"/>
        <v>1261.3019095756802</v>
      </c>
      <c r="K60" s="12">
        <f t="shared" ca="1" si="79"/>
        <v>1286.5279477671938</v>
      </c>
    </row>
    <row r="61" spans="2:11" x14ac:dyDescent="0.35">
      <c r="B61" s="7" t="s">
        <v>4</v>
      </c>
      <c r="C61" s="1"/>
      <c r="D61" s="1"/>
      <c r="E61" s="14">
        <f ca="1">E8</f>
        <v>0.02</v>
      </c>
      <c r="F61" s="14">
        <f t="shared" ca="1" si="79"/>
        <v>0.02</v>
      </c>
      <c r="G61" s="14">
        <f t="shared" ca="1" si="79"/>
        <v>0.02</v>
      </c>
      <c r="H61" s="14">
        <f t="shared" ca="1" si="79"/>
        <v>0.02</v>
      </c>
      <c r="I61" s="14">
        <f t="shared" ca="1" si="79"/>
        <v>0.02</v>
      </c>
      <c r="J61" s="14">
        <f t="shared" ca="1" si="79"/>
        <v>0.02</v>
      </c>
      <c r="K61" s="14">
        <f t="shared" ca="1" si="79"/>
        <v>0.02</v>
      </c>
    </row>
    <row r="62" spans="2:11" x14ac:dyDescent="0.35">
      <c r="B62" s="5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5">
      <c r="B63" s="5" t="s">
        <v>54</v>
      </c>
      <c r="C63" s="1"/>
      <c r="D63" s="11">
        <f ca="1">D13</f>
        <v>5</v>
      </c>
      <c r="E63" s="11">
        <f>E13</f>
        <v>8.1999999999999993</v>
      </c>
      <c r="F63" s="11">
        <f t="shared" ref="F63:K63" ca="1" si="80">F13</f>
        <v>8.4049999999999994</v>
      </c>
      <c r="G63" s="11">
        <f t="shared" ca="1" si="80"/>
        <v>8.615124999999999</v>
      </c>
      <c r="H63" s="11">
        <f t="shared" ca="1" si="80"/>
        <v>8.8305031249999981</v>
      </c>
      <c r="I63" s="11">
        <f t="shared" ca="1" si="80"/>
        <v>9.0512657031249972</v>
      </c>
      <c r="J63" s="11">
        <f t="shared" ca="1" si="80"/>
        <v>9.2775473457031215</v>
      </c>
      <c r="K63" s="11">
        <f t="shared" ca="1" si="80"/>
        <v>9.5094860293456982</v>
      </c>
    </row>
    <row r="64" spans="2:11" x14ac:dyDescent="0.35">
      <c r="B64" s="7" t="s">
        <v>4</v>
      </c>
      <c r="C64" s="1"/>
      <c r="D64" s="1"/>
      <c r="E64" s="13">
        <f ca="1">E63/D63-1</f>
        <v>0.6399999999999999</v>
      </c>
      <c r="F64" s="13">
        <f t="shared" ref="F64:K64" ca="1" si="81">F63/E63-1</f>
        <v>2.4999999999999911E-2</v>
      </c>
      <c r="G64" s="13">
        <f t="shared" ca="1" si="81"/>
        <v>2.4999999999999911E-2</v>
      </c>
      <c r="H64" s="13">
        <f t="shared" ca="1" si="81"/>
        <v>2.4999999999999911E-2</v>
      </c>
      <c r="I64" s="13">
        <f t="shared" ca="1" si="81"/>
        <v>2.4999999999999911E-2</v>
      </c>
      <c r="J64" s="13">
        <f t="shared" ca="1" si="81"/>
        <v>2.4999999999999911E-2</v>
      </c>
      <c r="K64" s="13">
        <f t="shared" ca="1" si="81"/>
        <v>2.4999999999999911E-2</v>
      </c>
    </row>
    <row r="65" spans="2:1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5">
      <c r="B66" s="55" t="s">
        <v>12</v>
      </c>
      <c r="C66" s="55"/>
      <c r="D66" s="56">
        <f ca="1">D22</f>
        <v>425</v>
      </c>
      <c r="E66" s="56">
        <f t="shared" ref="E66:K66" ca="1" si="82">E22</f>
        <v>493.93988571428417</v>
      </c>
      <c r="F66" s="56">
        <f t="shared" ca="1" si="82"/>
        <v>4251.9267899999995</v>
      </c>
      <c r="G66" s="56">
        <f t="shared" ca="1" si="82"/>
        <v>1733.2394589449996</v>
      </c>
      <c r="H66" s="56">
        <f t="shared" ca="1" si="82"/>
        <v>1925.5693543269972</v>
      </c>
      <c r="I66" s="56">
        <f t="shared" ca="1" si="82"/>
        <v>2129.4869474488769</v>
      </c>
      <c r="J66" s="56">
        <f t="shared" ca="1" si="82"/>
        <v>2345.5903957452992</v>
      </c>
      <c r="K66" s="56">
        <f t="shared" ca="1" si="82"/>
        <v>2574.5068457438992</v>
      </c>
    </row>
    <row r="67" spans="2:11" x14ac:dyDescent="0.35">
      <c r="B67" s="1" t="s">
        <v>13</v>
      </c>
      <c r="C67" s="1"/>
      <c r="D67" s="14">
        <f ca="1">D66/D57</f>
        <v>7.5892857142857137E-2</v>
      </c>
      <c r="E67" s="14">
        <f t="shared" ref="E67:K67" ca="1" si="83">E66/E57</f>
        <v>5.2728091236494433E-2</v>
      </c>
      <c r="F67" s="14">
        <f t="shared" ca="1" si="83"/>
        <v>0.43413989235334399</v>
      </c>
      <c r="G67" s="14">
        <f t="shared" ca="1" si="83"/>
        <v>0.16926939677126282</v>
      </c>
      <c r="H67" s="14">
        <f t="shared" ca="1" si="83"/>
        <v>0.1798684562183249</v>
      </c>
      <c r="I67" s="14">
        <f t="shared" ca="1" si="83"/>
        <v>0.19025969097034665</v>
      </c>
      <c r="J67" s="14">
        <f t="shared" ca="1" si="83"/>
        <v>0.20044717602134818</v>
      </c>
      <c r="K67" s="14">
        <f t="shared" ca="1" si="83"/>
        <v>0.21043490646350674</v>
      </c>
    </row>
    <row r="68" spans="2:1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5">
      <c r="B69" s="20" t="s">
        <v>20</v>
      </c>
      <c r="C69" s="21">
        <f ca="1">C33</f>
        <v>-1000</v>
      </c>
      <c r="D69" s="21">
        <f t="shared" ref="D69:K69" ca="1" si="84">D33</f>
        <v>71.5</v>
      </c>
      <c r="E69" s="21">
        <f t="shared" ca="1" si="84"/>
        <v>-4797.6260800000009</v>
      </c>
      <c r="F69" s="21">
        <f t="shared" ca="1" si="84"/>
        <v>3641.0372809999999</v>
      </c>
      <c r="G69" s="21">
        <f t="shared" ca="1" si="84"/>
        <v>1220.9864772854999</v>
      </c>
      <c r="H69" s="21">
        <f t="shared" ca="1" si="84"/>
        <v>1348.6036120019899</v>
      </c>
      <c r="I69" s="21">
        <f t="shared" ca="1" si="84"/>
        <v>1487.2860075980816</v>
      </c>
      <c r="J69" s="21">
        <f t="shared" ca="1" si="84"/>
        <v>1632.9502754750433</v>
      </c>
      <c r="K69" s="21">
        <f t="shared" ca="1" si="84"/>
        <v>1789.0332239036898</v>
      </c>
    </row>
    <row r="70" spans="2:1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5">
      <c r="B71" s="25" t="s">
        <v>39</v>
      </c>
      <c r="C71" s="24">
        <f ca="1">C38</f>
        <v>0.31182457459552881</v>
      </c>
      <c r="D71" s="1"/>
      <c r="E71" s="1"/>
      <c r="F71" s="1"/>
      <c r="G71" s="1"/>
      <c r="H71" s="1"/>
      <c r="I71" s="1"/>
      <c r="J71" s="1"/>
      <c r="K71" s="1"/>
    </row>
    <row r="72" spans="2:11" x14ac:dyDescent="0.35">
      <c r="B72" s="26" t="s">
        <v>55</v>
      </c>
      <c r="C72" s="28">
        <f t="shared" ref="C72:C73" ca="1" si="85">C39</f>
        <v>5472.5838907734787</v>
      </c>
      <c r="D72" s="1"/>
      <c r="E72" s="1"/>
      <c r="F72" s="1"/>
      <c r="G72" s="1"/>
      <c r="H72" s="1"/>
      <c r="I72" s="1"/>
      <c r="J72" s="1"/>
      <c r="K72" s="1"/>
    </row>
    <row r="73" spans="2:11" x14ac:dyDescent="0.35">
      <c r="B73" s="27" t="s">
        <v>56</v>
      </c>
      <c r="C73" s="34">
        <f t="shared" si="85"/>
        <v>5</v>
      </c>
      <c r="D73" s="1"/>
      <c r="E73" s="1"/>
      <c r="F73" s="1"/>
      <c r="G73" s="1"/>
      <c r="H73" s="1"/>
      <c r="I73" s="1"/>
      <c r="J73" s="1"/>
      <c r="K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rebuild + Refit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2024-12-29T19:11:19Z</dcterms:modified>
</cp:coreProperties>
</file>