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face\Downloads\"/>
    </mc:Choice>
  </mc:AlternateContent>
  <xr:revisionPtr revIDLastSave="0" documentId="13_ncr:1_{0B232AFB-B00B-45D9-A867-E4B3A5741652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  <sheet name="PRescendent TRansactions" sheetId="2" r:id="rId2"/>
  </sheets>
  <definedNames>
    <definedName name="_xlchart.v1.0" hidden="1">Sheet1!$V$40:$V$44</definedName>
    <definedName name="_xlchart.v1.1" hidden="1">Sheet1!$W$40:$W$44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E90" i="1" s="1"/>
  <c r="F90" i="1" s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R32" i="1"/>
  <c r="AD19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Z36" i="1"/>
  <c r="Q65" i="1"/>
  <c r="Q66" i="1"/>
  <c r="Q67" i="1"/>
  <c r="Q68" i="1"/>
  <c r="Q69" i="1"/>
  <c r="Q70" i="1"/>
  <c r="Q71" i="1"/>
  <c r="Q74" i="1"/>
  <c r="Q75" i="1"/>
  <c r="Q76" i="1"/>
  <c r="Q77" i="1"/>
  <c r="Q64" i="1"/>
  <c r="Q62" i="1"/>
  <c r="Q63" i="1"/>
  <c r="Q61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64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G20" i="1"/>
  <c r="AH20" i="1"/>
  <c r="AI20" i="1"/>
  <c r="AJ20" i="1"/>
  <c r="AK20" i="1"/>
  <c r="AL20" i="1"/>
  <c r="AM20" i="1"/>
  <c r="AN20" i="1"/>
  <c r="AO20" i="1"/>
  <c r="AP20" i="1"/>
  <c r="AQ20" i="1"/>
  <c r="AE20" i="1"/>
  <c r="AE18" i="1"/>
  <c r="AA18" i="1"/>
  <c r="AB18" i="1"/>
  <c r="AC18" i="1"/>
  <c r="AA19" i="1"/>
  <c r="AB19" i="1"/>
  <c r="AC19" i="1"/>
  <c r="AA20" i="1"/>
  <c r="AB20" i="1"/>
  <c r="AC20" i="1"/>
  <c r="AD20" i="1" s="1"/>
  <c r="Z19" i="1"/>
  <c r="Z20" i="1"/>
  <c r="Z18" i="1"/>
  <c r="AO7" i="1"/>
  <c r="AO8" i="1"/>
  <c r="AO9" i="1"/>
  <c r="AO10" i="1"/>
  <c r="AO11" i="1"/>
  <c r="AO12" i="1"/>
  <c r="AO13" i="1"/>
  <c r="AO14" i="1"/>
  <c r="AO15" i="1"/>
  <c r="AO16" i="1"/>
  <c r="AO17" i="1"/>
  <c r="AO21" i="1"/>
  <c r="AO22" i="1"/>
  <c r="AO23" i="1"/>
  <c r="AO24" i="1"/>
  <c r="AO25" i="1"/>
  <c r="AO26" i="1"/>
  <c r="AO27" i="1"/>
  <c r="AO30" i="1"/>
  <c r="AO31" i="1"/>
  <c r="AP7" i="1"/>
  <c r="AP8" i="1"/>
  <c r="AP9" i="1"/>
  <c r="AP10" i="1"/>
  <c r="AP11" i="1"/>
  <c r="AP12" i="1"/>
  <c r="AP13" i="1"/>
  <c r="AP14" i="1"/>
  <c r="AP15" i="1"/>
  <c r="AP16" i="1"/>
  <c r="AP17" i="1"/>
  <c r="AP21" i="1"/>
  <c r="AP22" i="1"/>
  <c r="AP23" i="1"/>
  <c r="AP24" i="1"/>
  <c r="AP25" i="1"/>
  <c r="AP26" i="1"/>
  <c r="AP27" i="1"/>
  <c r="AP28" i="1"/>
  <c r="AP31" i="1"/>
  <c r="Q29" i="1"/>
  <c r="C58" i="1" s="1"/>
  <c r="C61" i="1" s="1"/>
  <c r="C100" i="1" s="1"/>
  <c r="C104" i="1" s="1"/>
  <c r="X40" i="1" a="1"/>
  <c r="X40" i="1" s="1"/>
  <c r="V21" i="1"/>
  <c r="W21" i="1" s="1"/>
  <c r="X21" i="1" s="1"/>
  <c r="Y21" i="1" s="1"/>
  <c r="V22" i="1"/>
  <c r="W22" i="1" s="1"/>
  <c r="X22" i="1" s="1"/>
  <c r="Y22" i="1" s="1"/>
  <c r="V23" i="1"/>
  <c r="AM7" i="1"/>
  <c r="AN7" i="1"/>
  <c r="AQ7" i="1"/>
  <c r="AM8" i="1"/>
  <c r="AN8" i="1"/>
  <c r="AQ8" i="1"/>
  <c r="AM9" i="1"/>
  <c r="AN9" i="1"/>
  <c r="AQ9" i="1"/>
  <c r="AM10" i="1"/>
  <c r="AN10" i="1"/>
  <c r="AQ10" i="1"/>
  <c r="AM11" i="1"/>
  <c r="AN11" i="1"/>
  <c r="AQ11" i="1"/>
  <c r="AM12" i="1"/>
  <c r="AN12" i="1"/>
  <c r="AQ12" i="1"/>
  <c r="AM13" i="1"/>
  <c r="AN13" i="1"/>
  <c r="AQ13" i="1"/>
  <c r="AM14" i="1"/>
  <c r="AN14" i="1"/>
  <c r="AQ14" i="1"/>
  <c r="AM15" i="1"/>
  <c r="AN15" i="1"/>
  <c r="AQ15" i="1"/>
  <c r="AM16" i="1"/>
  <c r="AN16" i="1"/>
  <c r="AQ16" i="1"/>
  <c r="AM17" i="1"/>
  <c r="AN17" i="1"/>
  <c r="AQ17" i="1"/>
  <c r="AM21" i="1"/>
  <c r="AN21" i="1"/>
  <c r="AQ21" i="1"/>
  <c r="AM22" i="1"/>
  <c r="AN22" i="1"/>
  <c r="AQ22" i="1"/>
  <c r="AM23" i="1"/>
  <c r="AN23" i="1"/>
  <c r="AQ23" i="1"/>
  <c r="AM24" i="1"/>
  <c r="AN24" i="1"/>
  <c r="AQ24" i="1"/>
  <c r="AM25" i="1"/>
  <c r="AN25" i="1"/>
  <c r="AQ25" i="1"/>
  <c r="AM26" i="1"/>
  <c r="AN26" i="1"/>
  <c r="AQ26" i="1"/>
  <c r="AN27" i="1"/>
  <c r="AQ27" i="1"/>
  <c r="AM28" i="1"/>
  <c r="AQ28" i="1"/>
  <c r="AM30" i="1"/>
  <c r="AN30" i="1"/>
  <c r="AQ30" i="1"/>
  <c r="AM31" i="1"/>
  <c r="AN31" i="1"/>
  <c r="AA7" i="1"/>
  <c r="AB7" i="1"/>
  <c r="AC7" i="1"/>
  <c r="AD7" i="1"/>
  <c r="AE7" i="1"/>
  <c r="AF7" i="1"/>
  <c r="AG7" i="1"/>
  <c r="AH7" i="1"/>
  <c r="AI7" i="1"/>
  <c r="AJ7" i="1"/>
  <c r="AK7" i="1"/>
  <c r="AL7" i="1"/>
  <c r="AB8" i="1"/>
  <c r="AC8" i="1"/>
  <c r="AD8" i="1"/>
  <c r="AE8" i="1"/>
  <c r="AF8" i="1"/>
  <c r="AG8" i="1"/>
  <c r="AH8" i="1"/>
  <c r="AI8" i="1"/>
  <c r="AJ8" i="1"/>
  <c r="AK8" i="1"/>
  <c r="AL8" i="1"/>
  <c r="AA9" i="1"/>
  <c r="AC9" i="1"/>
  <c r="AD9" i="1"/>
  <c r="AE9" i="1"/>
  <c r="AF9" i="1"/>
  <c r="AG9" i="1"/>
  <c r="AH9" i="1"/>
  <c r="AI9" i="1"/>
  <c r="AJ9" i="1"/>
  <c r="AK9" i="1"/>
  <c r="AL9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A17" i="1"/>
  <c r="AB17" i="1"/>
  <c r="AD17" i="1"/>
  <c r="AE17" i="1"/>
  <c r="AF17" i="1"/>
  <c r="AG17" i="1"/>
  <c r="AH17" i="1"/>
  <c r="AI17" i="1"/>
  <c r="AJ17" i="1"/>
  <c r="AK17" i="1"/>
  <c r="AL17" i="1"/>
  <c r="AA21" i="1"/>
  <c r="AB21" i="1"/>
  <c r="AC21" i="1"/>
  <c r="AD21" i="1"/>
  <c r="AE21" i="1"/>
  <c r="AF21" i="1"/>
  <c r="AH21" i="1"/>
  <c r="AI21" i="1"/>
  <c r="AJ21" i="1"/>
  <c r="AK21" i="1"/>
  <c r="AL21" i="1"/>
  <c r="AA22" i="1"/>
  <c r="AB22" i="1"/>
  <c r="AC22" i="1"/>
  <c r="AD22" i="1"/>
  <c r="AE22" i="1"/>
  <c r="AF22" i="1"/>
  <c r="AG22" i="1"/>
  <c r="AI22" i="1"/>
  <c r="AJ22" i="1"/>
  <c r="AK22" i="1"/>
  <c r="AL22" i="1"/>
  <c r="AA23" i="1"/>
  <c r="AB23" i="1"/>
  <c r="AC23" i="1"/>
  <c r="AD23" i="1"/>
  <c r="AE23" i="1"/>
  <c r="AF23" i="1"/>
  <c r="AG23" i="1"/>
  <c r="AH23" i="1"/>
  <c r="AJ23" i="1"/>
  <c r="AK23" i="1"/>
  <c r="AL23" i="1"/>
  <c r="AA24" i="1"/>
  <c r="AB24" i="1"/>
  <c r="AC24" i="1"/>
  <c r="AD24" i="1"/>
  <c r="AE24" i="1"/>
  <c r="AF24" i="1"/>
  <c r="AG24" i="1"/>
  <c r="AH24" i="1"/>
  <c r="AI24" i="1"/>
  <c r="AK24" i="1"/>
  <c r="AL24" i="1"/>
  <c r="AA25" i="1"/>
  <c r="AB25" i="1"/>
  <c r="AC25" i="1"/>
  <c r="AD25" i="1"/>
  <c r="AE25" i="1"/>
  <c r="AF25" i="1"/>
  <c r="AG25" i="1"/>
  <c r="AH25" i="1"/>
  <c r="AI25" i="1"/>
  <c r="AJ25" i="1"/>
  <c r="AL25" i="1"/>
  <c r="AA26" i="1"/>
  <c r="AB26" i="1"/>
  <c r="AC26" i="1"/>
  <c r="AD26" i="1"/>
  <c r="AE26" i="1"/>
  <c r="AF26" i="1"/>
  <c r="AG26" i="1"/>
  <c r="AH26" i="1"/>
  <c r="AI26" i="1"/>
  <c r="AJ26" i="1"/>
  <c r="AK26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Z8" i="1"/>
  <c r="Z9" i="1"/>
  <c r="Z10" i="1"/>
  <c r="Z11" i="1"/>
  <c r="Z12" i="1"/>
  <c r="Z13" i="1"/>
  <c r="Z14" i="1"/>
  <c r="Z15" i="1"/>
  <c r="Z16" i="1"/>
  <c r="Z17" i="1"/>
  <c r="Z21" i="1"/>
  <c r="Z22" i="1"/>
  <c r="Z23" i="1"/>
  <c r="Z24" i="1"/>
  <c r="Z25" i="1"/>
  <c r="Z26" i="1"/>
  <c r="Z27" i="1"/>
  <c r="Z28" i="1"/>
  <c r="Z30" i="1"/>
  <c r="Z31" i="1"/>
  <c r="Y17" i="1"/>
  <c r="X19" i="1"/>
  <c r="Y19" i="1" s="1"/>
  <c r="X20" i="1"/>
  <c r="Y20" i="1" s="1"/>
  <c r="X18" i="1"/>
  <c r="Y18" i="1" s="1"/>
  <c r="W18" i="1"/>
  <c r="W19" i="1"/>
  <c r="W20" i="1"/>
  <c r="W17" i="1"/>
  <c r="W8" i="1"/>
  <c r="X8" i="1" s="1"/>
  <c r="Y8" i="1" s="1"/>
  <c r="W9" i="1"/>
  <c r="X9" i="1" s="1"/>
  <c r="Y9" i="1" s="1"/>
  <c r="W10" i="1"/>
  <c r="X10" i="1" s="1"/>
  <c r="Y10" i="1" s="1"/>
  <c r="W11" i="1"/>
  <c r="X11" i="1" s="1"/>
  <c r="Y11" i="1" s="1"/>
  <c r="W12" i="1"/>
  <c r="X12" i="1" s="1"/>
  <c r="Y12" i="1" s="1"/>
  <c r="W13" i="1"/>
  <c r="X13" i="1" s="1"/>
  <c r="Y13" i="1" s="1"/>
  <c r="W14" i="1"/>
  <c r="X14" i="1" s="1"/>
  <c r="Y14" i="1" s="1"/>
  <c r="W15" i="1"/>
  <c r="X15" i="1" s="1"/>
  <c r="Y15" i="1" s="1"/>
  <c r="W16" i="1"/>
  <c r="X16" i="1" s="1"/>
  <c r="Y16" i="1" s="1"/>
  <c r="W7" i="1"/>
  <c r="X7" i="1" s="1"/>
  <c r="Y7" i="1" s="1"/>
  <c r="V31" i="1"/>
  <c r="W31" i="1" s="1"/>
  <c r="X31" i="1" s="1"/>
  <c r="Y31" i="1" s="1"/>
  <c r="V30" i="1"/>
  <c r="W30" i="1" s="1"/>
  <c r="X30" i="1" s="1"/>
  <c r="Y30" i="1" s="1"/>
  <c r="V28" i="1"/>
  <c r="W28" i="1" s="1"/>
  <c r="X28" i="1" s="1"/>
  <c r="Y28" i="1" s="1"/>
  <c r="V27" i="1"/>
  <c r="W27" i="1" s="1"/>
  <c r="X27" i="1" s="1"/>
  <c r="Y27" i="1" s="1"/>
  <c r="V26" i="1"/>
  <c r="W26" i="1" s="1"/>
  <c r="X26" i="1" s="1"/>
  <c r="Y26" i="1" s="1"/>
  <c r="V25" i="1"/>
  <c r="W25" i="1" s="1"/>
  <c r="X25" i="1" s="1"/>
  <c r="Y25" i="1" s="1"/>
  <c r="V24" i="1"/>
  <c r="W24" i="1" s="1"/>
  <c r="X24" i="1" s="1"/>
  <c r="Y24" i="1" s="1"/>
  <c r="W23" i="1"/>
  <c r="X23" i="1" s="1"/>
  <c r="Y23" i="1" s="1"/>
  <c r="Q6" i="1"/>
  <c r="S33" i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P34" i="1"/>
  <c r="F9" i="2"/>
  <c r="E9" i="2"/>
  <c r="Q20" i="1"/>
  <c r="D40" i="1" s="1"/>
  <c r="Q19" i="1"/>
  <c r="D39" i="1" s="1"/>
  <c r="Q18" i="1"/>
  <c r="D24" i="1" s="1"/>
  <c r="C69" i="1"/>
  <c r="D60" i="1"/>
  <c r="E60" i="1" s="1"/>
  <c r="F60" i="1" s="1"/>
  <c r="G60" i="1" s="1"/>
  <c r="H60" i="1" s="1"/>
  <c r="I60" i="1" s="1"/>
  <c r="J60" i="1" s="1"/>
  <c r="K60" i="1" s="1"/>
  <c r="L60" i="1" s="1"/>
  <c r="M60" i="1" s="1"/>
  <c r="Q30" i="1"/>
  <c r="Q31" i="1"/>
  <c r="Q8" i="1"/>
  <c r="E9" i="1" s="1"/>
  <c r="Q9" i="1"/>
  <c r="F9" i="1" s="1"/>
  <c r="Q10" i="1"/>
  <c r="D11" i="1" s="1"/>
  <c r="D10" i="1" s="1"/>
  <c r="Q11" i="1"/>
  <c r="E11" i="1" s="1"/>
  <c r="Q12" i="1"/>
  <c r="F11" i="1" s="1"/>
  <c r="Q13" i="1"/>
  <c r="D13" i="1" s="1"/>
  <c r="D12" i="1" s="1"/>
  <c r="Q14" i="1"/>
  <c r="E13" i="1" s="1"/>
  <c r="Q15" i="1"/>
  <c r="F13" i="1" s="1"/>
  <c r="Q17" i="1"/>
  <c r="M21" i="1" s="1"/>
  <c r="S21" i="1"/>
  <c r="Q21" i="1" s="1"/>
  <c r="S22" i="1"/>
  <c r="Q22" i="1" s="1"/>
  <c r="S23" i="1"/>
  <c r="Q23" i="1" s="1"/>
  <c r="S24" i="1"/>
  <c r="Q24" i="1" s="1"/>
  <c r="S25" i="1"/>
  <c r="Q25" i="1" s="1"/>
  <c r="S26" i="1"/>
  <c r="Q26" i="1" s="1"/>
  <c r="S27" i="1"/>
  <c r="Q27" i="1" s="1"/>
  <c r="Q7" i="1"/>
  <c r="D9" i="1" s="1"/>
  <c r="D8" i="1" s="1"/>
  <c r="C83" i="1"/>
  <c r="Q28" i="1"/>
  <c r="C31" i="1"/>
  <c r="C30" i="1"/>
  <c r="C32" i="1"/>
  <c r="C20" i="1"/>
  <c r="C25" i="1" s="1"/>
  <c r="C15" i="1"/>
  <c r="E11" i="2" s="1"/>
  <c r="D5" i="1"/>
  <c r="E5" i="1" s="1"/>
  <c r="F5" i="1" s="1"/>
  <c r="G5" i="1" s="1"/>
  <c r="H5" i="1" s="1"/>
  <c r="I5" i="1" s="1"/>
  <c r="J5" i="1" s="1"/>
  <c r="K5" i="1" s="1"/>
  <c r="L5" i="1" s="1"/>
  <c r="M5" i="1" s="1"/>
  <c r="G90" i="1" s="1"/>
  <c r="S61" i="1" l="1" a="1"/>
  <c r="S61" i="1" s="1"/>
  <c r="AP33" i="1"/>
  <c r="Q73" i="1"/>
  <c r="Q72" i="1"/>
  <c r="S68" i="1" a="1"/>
  <c r="AQ33" i="1"/>
  <c r="W44" i="1"/>
  <c r="W43" i="1"/>
  <c r="W41" i="1"/>
  <c r="W42" i="1" s="1"/>
  <c r="J40" i="1"/>
  <c r="I40" i="1"/>
  <c r="H40" i="1"/>
  <c r="G40" i="1"/>
  <c r="L39" i="1"/>
  <c r="K39" i="1"/>
  <c r="J39" i="1"/>
  <c r="K40" i="1"/>
  <c r="I39" i="1"/>
  <c r="H39" i="1"/>
  <c r="F40" i="1"/>
  <c r="G39" i="1"/>
  <c r="M40" i="1"/>
  <c r="E40" i="1"/>
  <c r="F39" i="1"/>
  <c r="L40" i="1"/>
  <c r="M39" i="1"/>
  <c r="E39" i="1"/>
  <c r="C26" i="1"/>
  <c r="K24" i="1"/>
  <c r="I24" i="1"/>
  <c r="H24" i="1"/>
  <c r="L24" i="1"/>
  <c r="G24" i="1"/>
  <c r="J24" i="1"/>
  <c r="F24" i="1"/>
  <c r="M24" i="1"/>
  <c r="E24" i="1"/>
  <c r="Q16" i="1"/>
  <c r="D14" i="1" s="1"/>
  <c r="D15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C86" i="1"/>
  <c r="C84" i="1"/>
  <c r="C21" i="1"/>
  <c r="D21" i="1" s="1"/>
  <c r="E21" i="1" s="1"/>
  <c r="F21" i="1" s="1"/>
  <c r="G21" i="1" s="1"/>
  <c r="H21" i="1" s="1"/>
  <c r="I21" i="1" s="1"/>
  <c r="J21" i="1" s="1"/>
  <c r="K21" i="1" s="1"/>
  <c r="L21" i="1" s="1"/>
  <c r="C48" i="1"/>
  <c r="C33" i="1"/>
  <c r="C34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E10" i="1"/>
  <c r="F10" i="1" s="1"/>
  <c r="D30" i="1"/>
  <c r="E12" i="1"/>
  <c r="F12" i="1" s="1"/>
  <c r="M13" i="1"/>
  <c r="E8" i="1"/>
  <c r="G13" i="1"/>
  <c r="G11" i="1"/>
  <c r="M9" i="1"/>
  <c r="L9" i="1"/>
  <c r="K9" i="1"/>
  <c r="J9" i="1"/>
  <c r="I9" i="1"/>
  <c r="H13" i="1"/>
  <c r="M11" i="1"/>
  <c r="L11" i="1"/>
  <c r="L13" i="1"/>
  <c r="K11" i="1"/>
  <c r="K13" i="1"/>
  <c r="J11" i="1"/>
  <c r="J13" i="1"/>
  <c r="I11" i="1"/>
  <c r="H9" i="1"/>
  <c r="I13" i="1"/>
  <c r="H11" i="1"/>
  <c r="G9" i="1"/>
  <c r="C41" i="1" l="1"/>
  <c r="C94" i="1"/>
  <c r="D83" i="1"/>
  <c r="D48" i="1" s="1"/>
  <c r="C91" i="1"/>
  <c r="T67" i="1"/>
  <c r="T66" i="1"/>
  <c r="T62" i="1"/>
  <c r="T63" i="1"/>
  <c r="T64" i="1"/>
  <c r="T65" i="1"/>
  <c r="T70" i="1"/>
  <c r="T78" i="1"/>
  <c r="T75" i="1"/>
  <c r="T76" i="1"/>
  <c r="T77" i="1"/>
  <c r="T71" i="1"/>
  <c r="T72" i="1"/>
  <c r="T73" i="1"/>
  <c r="T74" i="1"/>
  <c r="T69" i="1"/>
  <c r="T61" i="1"/>
  <c r="S68" i="1"/>
  <c r="T68" i="1" s="1"/>
  <c r="E14" i="1"/>
  <c r="C35" i="1"/>
  <c r="C46" i="1"/>
  <c r="D86" i="1"/>
  <c r="D49" i="1" s="1"/>
  <c r="D33" i="1"/>
  <c r="E30" i="1"/>
  <c r="G10" i="1"/>
  <c r="H10" i="1" s="1"/>
  <c r="I10" i="1" s="1"/>
  <c r="J10" i="1" s="1"/>
  <c r="K10" i="1" s="1"/>
  <c r="L10" i="1" s="1"/>
  <c r="M10" i="1" s="1"/>
  <c r="D16" i="1"/>
  <c r="D20" i="1"/>
  <c r="D25" i="1" s="1"/>
  <c r="G12" i="1"/>
  <c r="H12" i="1" s="1"/>
  <c r="I12" i="1" s="1"/>
  <c r="J12" i="1" s="1"/>
  <c r="K12" i="1" s="1"/>
  <c r="L12" i="1" s="1"/>
  <c r="M12" i="1" s="1"/>
  <c r="F8" i="1"/>
  <c r="D26" i="1" l="1"/>
  <c r="D27" i="1"/>
  <c r="G8" i="1"/>
  <c r="G14" i="1" s="1"/>
  <c r="F14" i="1"/>
  <c r="D34" i="1"/>
  <c r="D94" i="1" s="1"/>
  <c r="C47" i="1"/>
  <c r="C50" i="1" s="1"/>
  <c r="E33" i="1"/>
  <c r="F30" i="1"/>
  <c r="E15" i="1"/>
  <c r="D91" i="1" s="1"/>
  <c r="D92" i="1" s="1"/>
  <c r="D46" i="1" l="1"/>
  <c r="D47" i="1" s="1"/>
  <c r="D50" i="1" s="1"/>
  <c r="D62" i="1" s="1"/>
  <c r="D41" i="1"/>
  <c r="H8" i="1"/>
  <c r="H14" i="1" s="1"/>
  <c r="G15" i="1"/>
  <c r="F91" i="1" s="1"/>
  <c r="E83" i="1"/>
  <c r="E48" i="1" s="1"/>
  <c r="E86" i="1"/>
  <c r="E49" i="1" s="1"/>
  <c r="F33" i="1"/>
  <c r="G30" i="1"/>
  <c r="D35" i="1"/>
  <c r="E16" i="1"/>
  <c r="E20" i="1"/>
  <c r="E25" i="1" s="1"/>
  <c r="F15" i="1"/>
  <c r="E91" i="1" s="1"/>
  <c r="E92" i="1" s="1"/>
  <c r="F92" i="1" l="1"/>
  <c r="D65" i="1"/>
  <c r="D97" i="1" s="1"/>
  <c r="D101" i="1"/>
  <c r="D104" i="1" s="1"/>
  <c r="D42" i="1"/>
  <c r="D43" i="1"/>
  <c r="F86" i="1"/>
  <c r="F49" i="1" s="1"/>
  <c r="G86" i="1"/>
  <c r="G20" i="1"/>
  <c r="G25" i="1" s="1"/>
  <c r="G26" i="1" s="1"/>
  <c r="E26" i="1"/>
  <c r="E27" i="1"/>
  <c r="I8" i="1"/>
  <c r="I14" i="1" s="1"/>
  <c r="G83" i="1"/>
  <c r="G48" i="1" s="1"/>
  <c r="E34" i="1"/>
  <c r="E94" i="1" s="1"/>
  <c r="E95" i="1" s="1"/>
  <c r="G16" i="1"/>
  <c r="F83" i="1"/>
  <c r="F48" i="1" s="1"/>
  <c r="G33" i="1"/>
  <c r="H30" i="1"/>
  <c r="F16" i="1"/>
  <c r="F20" i="1"/>
  <c r="F25" i="1" s="1"/>
  <c r="H15" i="1"/>
  <c r="G91" i="1" s="1"/>
  <c r="G92" i="1" s="1"/>
  <c r="E41" i="1" l="1"/>
  <c r="G49" i="1"/>
  <c r="E46" i="1"/>
  <c r="E47" i="1" s="1"/>
  <c r="E36" i="1"/>
  <c r="I15" i="1"/>
  <c r="I83" i="1" s="1"/>
  <c r="I48" i="1" s="1"/>
  <c r="F26" i="1"/>
  <c r="F27" i="1"/>
  <c r="J8" i="1"/>
  <c r="J14" i="1" s="1"/>
  <c r="G27" i="1"/>
  <c r="G34" i="1"/>
  <c r="G41" i="1" s="1"/>
  <c r="F34" i="1"/>
  <c r="F94" i="1" s="1"/>
  <c r="F95" i="1" s="1"/>
  <c r="H83" i="1"/>
  <c r="H48" i="1" s="1"/>
  <c r="H86" i="1"/>
  <c r="H49" i="1" s="1"/>
  <c r="I30" i="1"/>
  <c r="H33" i="1"/>
  <c r="E35" i="1"/>
  <c r="H16" i="1"/>
  <c r="H20" i="1"/>
  <c r="H25" i="1" s="1"/>
  <c r="G42" i="1" l="1"/>
  <c r="E42" i="1"/>
  <c r="E43" i="1"/>
  <c r="F41" i="1"/>
  <c r="I86" i="1"/>
  <c r="I49" i="1" s="1"/>
  <c r="E50" i="1"/>
  <c r="E62" i="1" s="1"/>
  <c r="E101" i="1" s="1"/>
  <c r="E104" i="1" s="1"/>
  <c r="I16" i="1"/>
  <c r="G46" i="1"/>
  <c r="G47" i="1" s="1"/>
  <c r="G50" i="1" s="1"/>
  <c r="G62" i="1" s="1"/>
  <c r="G65" i="1" s="1"/>
  <c r="G36" i="1"/>
  <c r="F36" i="1"/>
  <c r="K8" i="1"/>
  <c r="K14" i="1" s="1"/>
  <c r="I20" i="1"/>
  <c r="I25" i="1" s="1"/>
  <c r="I27" i="1" s="1"/>
  <c r="H26" i="1"/>
  <c r="H27" i="1"/>
  <c r="F46" i="1"/>
  <c r="F47" i="1" s="1"/>
  <c r="F50" i="1" s="1"/>
  <c r="F62" i="1" s="1"/>
  <c r="F101" i="1" s="1"/>
  <c r="F35" i="1"/>
  <c r="G35" i="1"/>
  <c r="H34" i="1"/>
  <c r="H41" i="1" s="1"/>
  <c r="J30" i="1"/>
  <c r="I33" i="1"/>
  <c r="J15" i="1"/>
  <c r="F43" i="1" l="1"/>
  <c r="H42" i="1"/>
  <c r="H43" i="1"/>
  <c r="G43" i="1"/>
  <c r="F42" i="1"/>
  <c r="F63" i="1" s="1"/>
  <c r="E65" i="1"/>
  <c r="E97" i="1" s="1"/>
  <c r="H46" i="1"/>
  <c r="H47" i="1" s="1"/>
  <c r="H50" i="1" s="1"/>
  <c r="H62" i="1" s="1"/>
  <c r="H65" i="1" s="1"/>
  <c r="H36" i="1"/>
  <c r="L8" i="1"/>
  <c r="L14" i="1" s="1"/>
  <c r="K15" i="1"/>
  <c r="I26" i="1"/>
  <c r="I34" i="1"/>
  <c r="I41" i="1" s="1"/>
  <c r="H35" i="1"/>
  <c r="J83" i="1"/>
  <c r="J48" i="1" s="1"/>
  <c r="J86" i="1"/>
  <c r="J49" i="1" s="1"/>
  <c r="J33" i="1"/>
  <c r="K30" i="1"/>
  <c r="J16" i="1"/>
  <c r="J20" i="1"/>
  <c r="J25" i="1" s="1"/>
  <c r="F65" i="1" l="1"/>
  <c r="F97" i="1" s="1"/>
  <c r="F102" i="1"/>
  <c r="F104" i="1" s="1"/>
  <c r="I42" i="1"/>
  <c r="I43" i="1"/>
  <c r="K86" i="1"/>
  <c r="K49" i="1" s="1"/>
  <c r="K83" i="1"/>
  <c r="K48" i="1" s="1"/>
  <c r="I46" i="1"/>
  <c r="I47" i="1" s="1"/>
  <c r="I50" i="1" s="1"/>
  <c r="I62" i="1" s="1"/>
  <c r="I65" i="1" s="1"/>
  <c r="I36" i="1"/>
  <c r="K20" i="1"/>
  <c r="K25" i="1" s="1"/>
  <c r="K26" i="1" s="1"/>
  <c r="K16" i="1"/>
  <c r="M8" i="1"/>
  <c r="M14" i="1" s="1"/>
  <c r="J26" i="1"/>
  <c r="J27" i="1"/>
  <c r="I35" i="1"/>
  <c r="J34" i="1"/>
  <c r="J41" i="1" s="1"/>
  <c r="L30" i="1"/>
  <c r="K33" i="1"/>
  <c r="L15" i="1"/>
  <c r="J42" i="1" l="1"/>
  <c r="J43" i="1"/>
  <c r="K27" i="1"/>
  <c r="M15" i="1"/>
  <c r="J46" i="1"/>
  <c r="J47" i="1" s="1"/>
  <c r="J50" i="1" s="1"/>
  <c r="J62" i="1" s="1"/>
  <c r="J65" i="1" s="1"/>
  <c r="J36" i="1"/>
  <c r="K34" i="1"/>
  <c r="K41" i="1" s="1"/>
  <c r="L83" i="1"/>
  <c r="L48" i="1" s="1"/>
  <c r="L86" i="1"/>
  <c r="L49" i="1" s="1"/>
  <c r="J35" i="1"/>
  <c r="M30" i="1"/>
  <c r="M33" i="1" s="1"/>
  <c r="L33" i="1"/>
  <c r="L16" i="1"/>
  <c r="L20" i="1"/>
  <c r="L25" i="1" s="1"/>
  <c r="L27" i="1" s="1"/>
  <c r="N15" i="1" l="1"/>
  <c r="K42" i="1"/>
  <c r="K43" i="1"/>
  <c r="M86" i="1"/>
  <c r="M49" i="1" s="1"/>
  <c r="M20" i="1"/>
  <c r="M83" i="1"/>
  <c r="M48" i="1" s="1"/>
  <c r="M16" i="1"/>
  <c r="K46" i="1"/>
  <c r="K47" i="1" s="1"/>
  <c r="K50" i="1" s="1"/>
  <c r="K62" i="1" s="1"/>
  <c r="K65" i="1" s="1"/>
  <c r="K36" i="1"/>
  <c r="L26" i="1"/>
  <c r="K35" i="1"/>
  <c r="L34" i="1"/>
  <c r="L41" i="1" s="1"/>
  <c r="M25" i="1" l="1"/>
  <c r="M27" i="1" s="1"/>
  <c r="N20" i="1"/>
  <c r="L42" i="1"/>
  <c r="L43" i="1"/>
  <c r="M34" i="1"/>
  <c r="G94" i="1" s="1"/>
  <c r="L46" i="1"/>
  <c r="L47" i="1" s="1"/>
  <c r="L50" i="1" s="1"/>
  <c r="L62" i="1" s="1"/>
  <c r="L65" i="1" s="1"/>
  <c r="L36" i="1"/>
  <c r="L35" i="1"/>
  <c r="M26" i="1" l="1"/>
  <c r="N25" i="1"/>
  <c r="M36" i="1"/>
  <c r="M41" i="1"/>
  <c r="N41" i="1" s="1"/>
  <c r="M46" i="1"/>
  <c r="M47" i="1" s="1"/>
  <c r="M50" i="1" s="1"/>
  <c r="G97" i="1" s="1"/>
  <c r="M35" i="1"/>
  <c r="G95" i="1" s="1"/>
  <c r="M64" i="1"/>
  <c r="G103" i="1" s="1"/>
  <c r="C55" i="1"/>
  <c r="M42" i="1" l="1"/>
  <c r="M43" i="1"/>
  <c r="C54" i="1"/>
  <c r="M62" i="1"/>
  <c r="M65" i="1" l="1"/>
  <c r="G101" i="1"/>
  <c r="G104" i="1" s="1"/>
  <c r="C56" i="1" l="1"/>
  <c r="C65" i="1" l="1"/>
  <c r="C97" i="1" s="1"/>
  <c r="C67" i="1" l="1"/>
  <c r="Q32" i="1" l="1"/>
  <c r="Q34" i="1" s="1"/>
  <c r="C10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<sst xmlns="http://schemas.openxmlformats.org/spreadsheetml/2006/main" count="136" uniqueCount="92">
  <si>
    <t>x</t>
  </si>
  <si>
    <t>Year</t>
  </si>
  <si>
    <t>Revenue:</t>
  </si>
  <si>
    <t>Commercial</t>
  </si>
  <si>
    <t>Corporate</t>
  </si>
  <si>
    <t>Grocery</t>
  </si>
  <si>
    <t>Discounts</t>
  </si>
  <si>
    <t>Total Revenue</t>
  </si>
  <si>
    <t>Growth %</t>
  </si>
  <si>
    <t>Gross Margin</t>
  </si>
  <si>
    <t>Gross Profit</t>
  </si>
  <si>
    <t>Synergies</t>
  </si>
  <si>
    <t>Expenses:</t>
  </si>
  <si>
    <t>G&amp;A</t>
  </si>
  <si>
    <t>Advertising</t>
  </si>
  <si>
    <t>Employment</t>
  </si>
  <si>
    <t>Total Expenses:</t>
  </si>
  <si>
    <t>EBITDA</t>
  </si>
  <si>
    <t>Margin %</t>
  </si>
  <si>
    <t>Cash Flow</t>
  </si>
  <si>
    <t>Taxes</t>
  </si>
  <si>
    <t>Capex</t>
  </si>
  <si>
    <t>NWC</t>
  </si>
  <si>
    <t>FCF</t>
  </si>
  <si>
    <t>Assumptions</t>
  </si>
  <si>
    <t>Case</t>
  </si>
  <si>
    <t>Base</t>
  </si>
  <si>
    <t>Item</t>
  </si>
  <si>
    <t>Commercial ST</t>
  </si>
  <si>
    <t>Commercial MD</t>
  </si>
  <si>
    <t>Commercial LT</t>
  </si>
  <si>
    <t>Corporate ST</t>
  </si>
  <si>
    <t>Corporate MD</t>
  </si>
  <si>
    <t>Corporate LT</t>
  </si>
  <si>
    <t>Grocery ST</t>
  </si>
  <si>
    <t>Grocery MD</t>
  </si>
  <si>
    <t>Grocery LT</t>
  </si>
  <si>
    <t>Discount Rate</t>
  </si>
  <si>
    <t>Exit Multiple</t>
  </si>
  <si>
    <t>D&amp;A</t>
  </si>
  <si>
    <t>Capitalization</t>
  </si>
  <si>
    <t>TEV</t>
  </si>
  <si>
    <t>Base S</t>
  </si>
  <si>
    <t>Upside S</t>
  </si>
  <si>
    <t>Downside S</t>
  </si>
  <si>
    <t>Yield</t>
  </si>
  <si>
    <t xml:space="preserve">Growth </t>
  </si>
  <si>
    <t>Mult</t>
  </si>
  <si>
    <t>Earnout</t>
  </si>
  <si>
    <t>PV of Terminal Value</t>
  </si>
  <si>
    <t>PV of FCF</t>
  </si>
  <si>
    <t>Price</t>
  </si>
  <si>
    <t>Payment Upfront</t>
  </si>
  <si>
    <t>Sale</t>
  </si>
  <si>
    <t>Inc. CF</t>
  </si>
  <si>
    <t>Earnout EBITDA Mult.</t>
  </si>
  <si>
    <t>IRR</t>
  </si>
  <si>
    <t>Gross Margin %</t>
  </si>
  <si>
    <t>Discount %</t>
  </si>
  <si>
    <t>Discount</t>
  </si>
  <si>
    <t>Synergies GM</t>
  </si>
  <si>
    <t>Adj.</t>
  </si>
  <si>
    <t>Adj. Gross Profit</t>
  </si>
  <si>
    <t>Employee Synergies</t>
  </si>
  <si>
    <t>Overhead</t>
  </si>
  <si>
    <t>Adj. EBITDA</t>
  </si>
  <si>
    <t>Synergies Employee</t>
  </si>
  <si>
    <t>Synergies Overhead</t>
  </si>
  <si>
    <t>o1</t>
  </si>
  <si>
    <t>Target</t>
  </si>
  <si>
    <t>TEV/REV</t>
  </si>
  <si>
    <t>TEV/EBITDA</t>
  </si>
  <si>
    <t>McWilliams Wines</t>
  </si>
  <si>
    <t>Matso Broom Brewiing Co</t>
  </si>
  <si>
    <t>Luigi Lavazza</t>
  </si>
  <si>
    <t>Gloria Jean's Coffee</t>
  </si>
  <si>
    <t>Bean Alliance Group</t>
  </si>
  <si>
    <t>Value ($AUM)</t>
  </si>
  <si>
    <t>Median</t>
  </si>
  <si>
    <t>Coffee Party Implied</t>
  </si>
  <si>
    <t>CAGR</t>
  </si>
  <si>
    <t>Transaction Value</t>
  </si>
  <si>
    <t>Variable</t>
  </si>
  <si>
    <t>Revenue MD</t>
  </si>
  <si>
    <t>Step</t>
  </si>
  <si>
    <t>Impact</t>
  </si>
  <si>
    <t>Revenue LT</t>
  </si>
  <si>
    <t>Growth</t>
  </si>
  <si>
    <t>Revenue</t>
  </si>
  <si>
    <t>N/A</t>
  </si>
  <si>
    <t>Financials</t>
  </si>
  <si>
    <t>Revenue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</si>
</sst>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yyyy"/>
    <numFmt numFmtId="165" formatCode="0.0%"/>
    <numFmt numFmtId="166" formatCode="_(* #,##0_);_(* \(#,##0\);_(* &quot;-&quot;??_);_(@_)"/>
    <numFmt numFmtId="167" formatCode="0.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i/>
      <sz val="11"/>
      <color theme="1"/>
      <name val="Arial"/>
      <family val="2"/>
    </font>
    <font>
      <b/>
      <u val="singleAccounting"/>
      <sz val="11"/>
      <color theme="0"/>
      <name val="Arial"/>
      <family val="2"/>
    </font>
    <font>
      <sz val="11"/>
      <name val="Arial"/>
      <family val="2"/>
    </font>
    <font>
      <sz val="11"/>
      <color theme="4" tint="-0.499984740745262"/>
      <name val="Playbill"/>
      <family val="5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0" borderId="0" xfId="0" applyFont="1" applyAlignment="1">
      <alignment horizontal="left" indent="1"/>
    </xf>
    <xf numFmtId="0" fontId="4" fillId="0" borderId="0" xfId="0" applyFont="1"/>
    <xf numFmtId="0" fontId="2" fillId="0" borderId="1" xfId="0" applyFont="1" applyBorder="1"/>
    <xf numFmtId="0" fontId="5" fillId="0" borderId="1" xfId="0" applyFont="1" applyBorder="1"/>
    <xf numFmtId="165" fontId="2" fillId="0" borderId="0" xfId="2" applyNumberFormat="1" applyFont="1"/>
    <xf numFmtId="0" fontId="5" fillId="0" borderId="2" xfId="0" applyFont="1" applyBorder="1"/>
    <xf numFmtId="0" fontId="2" fillId="0" borderId="4" xfId="0" applyFont="1" applyBorder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5" xfId="0" applyFont="1" applyBorder="1"/>
    <xf numFmtId="9" fontId="2" fillId="0" borderId="0" xfId="0" applyNumberFormat="1" applyFont="1"/>
    <xf numFmtId="166" fontId="2" fillId="0" borderId="0" xfId="1" applyNumberFormat="1" applyFont="1"/>
    <xf numFmtId="165" fontId="2" fillId="0" borderId="0" xfId="0" applyNumberFormat="1" applyFont="1"/>
    <xf numFmtId="166" fontId="2" fillId="0" borderId="0" xfId="0" applyNumberFormat="1" applyFont="1"/>
    <xf numFmtId="43" fontId="2" fillId="0" borderId="0" xfId="0" applyNumberFormat="1" applyFont="1"/>
    <xf numFmtId="166" fontId="5" fillId="0" borderId="1" xfId="1" applyNumberFormat="1" applyFont="1" applyBorder="1"/>
    <xf numFmtId="166" fontId="5" fillId="0" borderId="2" xfId="1" applyNumberFormat="1" applyFont="1" applyBorder="1"/>
    <xf numFmtId="0" fontId="5" fillId="0" borderId="5" xfId="0" applyFont="1" applyBorder="1"/>
    <xf numFmtId="166" fontId="5" fillId="0" borderId="5" xfId="0" applyNumberFormat="1" applyFont="1" applyBorder="1"/>
    <xf numFmtId="0" fontId="5" fillId="0" borderId="0" xfId="0" applyFont="1"/>
    <xf numFmtId="0" fontId="3" fillId="3" borderId="0" xfId="0" applyFont="1" applyFill="1"/>
    <xf numFmtId="6" fontId="2" fillId="0" borderId="0" xfId="0" applyNumberFormat="1" applyFont="1"/>
    <xf numFmtId="0" fontId="2" fillId="0" borderId="5" xfId="0" applyFont="1" applyBorder="1" applyAlignment="1">
      <alignment horizontal="right"/>
    </xf>
    <xf numFmtId="0" fontId="4" fillId="0" borderId="5" xfId="0" applyFont="1" applyBorder="1"/>
    <xf numFmtId="0" fontId="4" fillId="0" borderId="1" xfId="0" applyFont="1" applyBorder="1"/>
    <xf numFmtId="166" fontId="2" fillId="0" borderId="1" xfId="1" applyNumberFormat="1" applyFont="1" applyBorder="1"/>
    <xf numFmtId="166" fontId="4" fillId="0" borderId="0" xfId="1" applyNumberFormat="1" applyFont="1"/>
    <xf numFmtId="166" fontId="5" fillId="0" borderId="5" xfId="1" applyNumberFormat="1" applyFont="1" applyBorder="1"/>
    <xf numFmtId="0" fontId="7" fillId="0" borderId="0" xfId="0" applyFont="1" applyAlignment="1">
      <alignment horizontal="left" indent="1"/>
    </xf>
    <xf numFmtId="165" fontId="7" fillId="0" borderId="0" xfId="2" applyNumberFormat="1" applyFont="1"/>
    <xf numFmtId="9" fontId="2" fillId="0" borderId="0" xfId="2" applyFont="1"/>
    <xf numFmtId="0" fontId="5" fillId="0" borderId="6" xfId="0" applyFont="1" applyBorder="1"/>
    <xf numFmtId="9" fontId="7" fillId="0" borderId="0" xfId="2" applyFont="1"/>
    <xf numFmtId="166" fontId="4" fillId="0" borderId="1" xfId="1" applyNumberFormat="1" applyFont="1" applyBorder="1"/>
    <xf numFmtId="0" fontId="5" fillId="0" borderId="5" xfId="0" applyFont="1" applyBorder="1" applyAlignment="1">
      <alignment horizontal="left"/>
    </xf>
    <xf numFmtId="165" fontId="5" fillId="0" borderId="5" xfId="2" applyNumberFormat="1" applyFont="1" applyBorder="1"/>
    <xf numFmtId="9" fontId="2" fillId="0" borderId="1" xfId="0" applyNumberFormat="1" applyFont="1" applyBorder="1"/>
    <xf numFmtId="0" fontId="2" fillId="0" borderId="0" xfId="0" applyFont="1" applyAlignment="1">
      <alignment wrapText="1"/>
    </xf>
    <xf numFmtId="0" fontId="8" fillId="3" borderId="0" xfId="0" applyFont="1" applyFill="1" applyAlignment="1">
      <alignment horizontal="center"/>
    </xf>
    <xf numFmtId="167" fontId="2" fillId="0" borderId="0" xfId="0" applyNumberFormat="1" applyFont="1"/>
    <xf numFmtId="0" fontId="5" fillId="4" borderId="2" xfId="0" applyFont="1" applyFill="1" applyBorder="1"/>
    <xf numFmtId="167" fontId="5" fillId="4" borderId="2" xfId="0" applyNumberFormat="1" applyFont="1" applyFill="1" applyBorder="1"/>
    <xf numFmtId="167" fontId="5" fillId="0" borderId="2" xfId="0" applyNumberFormat="1" applyFont="1" applyBorder="1"/>
    <xf numFmtId="9" fontId="4" fillId="0" borderId="0" xfId="0" applyNumberFormat="1" applyFont="1"/>
    <xf numFmtId="9" fontId="9" fillId="0" borderId="0" xfId="0" applyNumberFormat="1" applyFont="1"/>
    <xf numFmtId="9" fontId="4" fillId="0" borderId="1" xfId="0" applyNumberFormat="1" applyFont="1" applyBorder="1"/>
    <xf numFmtId="0" fontId="9" fillId="0" borderId="0" xfId="0" applyFont="1"/>
    <xf numFmtId="166" fontId="4" fillId="0" borderId="0" xfId="0" applyNumberFormat="1" applyFont="1"/>
    <xf numFmtId="0" fontId="10" fillId="0" borderId="0" xfId="0" applyFont="1"/>
    <xf numFmtId="0" fontId="5" fillId="5" borderId="2" xfId="0" applyFont="1" applyFill="1" applyBorder="1"/>
    <xf numFmtId="166" fontId="5" fillId="5" borderId="2" xfId="1" applyNumberFormat="1" applyFont="1" applyFill="1" applyBorder="1"/>
    <xf numFmtId="165" fontId="2" fillId="0" borderId="0" xfId="0" applyNumberFormat="1" applyFont="1" applyAlignment="1">
      <alignment horizontal="right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9" fontId="2" fillId="6" borderId="0" xfId="2" applyFont="1" applyFill="1"/>
    <xf numFmtId="9" fontId="2" fillId="6" borderId="1" xfId="2" applyFont="1" applyFill="1" applyBorder="1"/>
    <xf numFmtId="0" fontId="2" fillId="6" borderId="0" xfId="0" applyFont="1" applyFill="1"/>
    <xf numFmtId="0" fontId="2" fillId="6" borderId="1" xfId="0" applyFont="1" applyFill="1" applyBorder="1"/>
    <xf numFmtId="166" fontId="2" fillId="6" borderId="0" xfId="1" applyNumberFormat="1" applyFont="1" applyFill="1"/>
    <xf numFmtId="0" fontId="5" fillId="6" borderId="1" xfId="0" applyFont="1" applyFill="1" applyBorder="1"/>
    <xf numFmtId="166" fontId="5" fillId="6" borderId="1" xfId="1" applyNumberFormat="1" applyFont="1" applyFill="1" applyBorder="1"/>
    <xf numFmtId="0" fontId="5" fillId="6" borderId="2" xfId="0" applyFont="1" applyFill="1" applyBorder="1"/>
    <xf numFmtId="1" fontId="5" fillId="6" borderId="2" xfId="0" applyNumberFormat="1" applyFont="1" applyFill="1" applyBorder="1"/>
    <xf numFmtId="0" fontId="5" fillId="6" borderId="3" xfId="0" applyFont="1" applyFill="1" applyBorder="1"/>
    <xf numFmtId="166" fontId="5" fillId="6" borderId="3" xfId="1" applyNumberFormat="1" applyFont="1" applyFill="1" applyBorder="1"/>
    <xf numFmtId="0" fontId="5" fillId="6" borderId="2" xfId="0" applyFont="1" applyFill="1" applyBorder="1" applyAlignment="1">
      <alignment horizontal="left"/>
    </xf>
    <xf numFmtId="166" fontId="5" fillId="6" borderId="2" xfId="1" applyNumberFormat="1" applyFont="1" applyFill="1" applyBorder="1"/>
    <xf numFmtId="6" fontId="5" fillId="6" borderId="1" xfId="0" applyNumberFormat="1" applyFont="1" applyFill="1" applyBorder="1"/>
    <xf numFmtId="0" fontId="5" fillId="6" borderId="6" xfId="0" applyFont="1" applyFill="1" applyBorder="1"/>
    <xf numFmtId="9" fontId="5" fillId="6" borderId="7" xfId="0" applyNumberFormat="1" applyFont="1" applyFill="1" applyBorder="1"/>
    <xf numFmtId="166" fontId="2" fillId="6" borderId="0" xfId="0" applyNumberFormat="1" applyFont="1" applyFill="1"/>
    <xf numFmtId="166" fontId="5" fillId="6" borderId="1" xfId="0" applyNumberFormat="1" applyFont="1" applyFill="1" applyBorder="1"/>
    <xf numFmtId="166" fontId="2" fillId="0" borderId="9" xfId="0" applyNumberFormat="1" applyFont="1" applyBorder="1"/>
    <xf numFmtId="0" fontId="2" fillId="0" borderId="9" xfId="0" applyFont="1" applyBorder="1"/>
    <xf numFmtId="166" fontId="5" fillId="6" borderId="10" xfId="0" applyNumberFormat="1" applyFont="1" applyFill="1" applyBorder="1"/>
    <xf numFmtId="9" fontId="5" fillId="0" borderId="8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1C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Sheet1!$B$7</c:f>
              <c:strCache>
                <c:ptCount val="1"/>
                <c:pt idx="0">
                  <c:v>Revenue: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Sheet1!$C$5:$M$5</c:f>
              <c:numCache>
                <c:formatCode>yyyy</c:formatCode>
                <c:ptCount val="11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45656</c:v>
                </c:pt>
                <c:pt idx="5">
                  <c:v>46021</c:v>
                </c:pt>
                <c:pt idx="6">
                  <c:v>46386</c:v>
                </c:pt>
                <c:pt idx="7">
                  <c:v>46751</c:v>
                </c:pt>
                <c:pt idx="8">
                  <c:v>47116</c:v>
                </c:pt>
                <c:pt idx="9">
                  <c:v>47481</c:v>
                </c:pt>
                <c:pt idx="10">
                  <c:v>47846</c:v>
                </c:pt>
              </c:numCache>
            </c:numRef>
          </c:cat>
          <c:val>
            <c:numRef>
              <c:f>Sheet1!$C$7:$M$7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5C60-4E68-8EA8-CBE7CBCF3AFA}"/>
            </c:ext>
          </c:extLst>
        </c:ser>
        <c:ser>
          <c:idx val="2"/>
          <c:order val="2"/>
          <c:tx>
            <c:strRef>
              <c:f>Sheet1!$B$8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Sheet1!$C$5:$M$5</c:f>
              <c:numCache>
                <c:formatCode>yyyy</c:formatCode>
                <c:ptCount val="11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45656</c:v>
                </c:pt>
                <c:pt idx="5">
                  <c:v>46021</c:v>
                </c:pt>
                <c:pt idx="6">
                  <c:v>46386</c:v>
                </c:pt>
                <c:pt idx="7">
                  <c:v>46751</c:v>
                </c:pt>
                <c:pt idx="8">
                  <c:v>47116</c:v>
                </c:pt>
                <c:pt idx="9">
                  <c:v>47481</c:v>
                </c:pt>
                <c:pt idx="10">
                  <c:v>47846</c:v>
                </c:pt>
              </c:numCache>
            </c:numRef>
          </c:cat>
          <c:val>
            <c:numRef>
              <c:f>Sheet1!$C$8:$M$8</c:f>
              <c:numCache>
                <c:formatCode>_(* #,##0_);_(* \(#,##0\);_(* "-"??_);_(@_)</c:formatCode>
                <c:ptCount val="11"/>
                <c:pt idx="0" formatCode="General">
                  <c:v>2664</c:v>
                </c:pt>
                <c:pt idx="1">
                  <c:v>2930.4</c:v>
                </c:pt>
                <c:pt idx="2">
                  <c:v>3135.5280000000002</c:v>
                </c:pt>
                <c:pt idx="3">
                  <c:v>3292.3044000000004</c:v>
                </c:pt>
                <c:pt idx="4">
                  <c:v>3456.9196200000006</c:v>
                </c:pt>
                <c:pt idx="5">
                  <c:v>3629.765601000001</c:v>
                </c:pt>
                <c:pt idx="6">
                  <c:v>3811.2538810500014</c:v>
                </c:pt>
                <c:pt idx="7">
                  <c:v>4001.8165751025017</c:v>
                </c:pt>
                <c:pt idx="8">
                  <c:v>4201.9074038576273</c:v>
                </c:pt>
                <c:pt idx="9">
                  <c:v>4412.0027740505093</c:v>
                </c:pt>
                <c:pt idx="10">
                  <c:v>4632.6029127530346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E68-8EA8-CBE7CBCF3AFA}"/>
            </c:ext>
          </c:extLst>
        </c:ser>
        <c:ser>
          <c:idx val="3"/>
          <c:order val="3"/>
          <c:tx>
            <c:strRef>
              <c:f>Sheet1!$B$9</c:f>
              <c:strCache>
                <c:ptCount val="1"/>
                <c:pt idx="0">
                  <c:v>Growth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Sheet1!$C$5:$M$5</c:f>
              <c:numCache>
                <c:formatCode>yyyy</c:formatCode>
                <c:ptCount val="11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45656</c:v>
                </c:pt>
                <c:pt idx="5">
                  <c:v>46021</c:v>
                </c:pt>
                <c:pt idx="6">
                  <c:v>46386</c:v>
                </c:pt>
                <c:pt idx="7">
                  <c:v>46751</c:v>
                </c:pt>
                <c:pt idx="8">
                  <c:v>47116</c:v>
                </c:pt>
                <c:pt idx="9">
                  <c:v>47481</c:v>
                </c:pt>
                <c:pt idx="10">
                  <c:v>47846</c:v>
                </c:pt>
              </c:numCache>
            </c:numRef>
          </c:cat>
          <c:val>
            <c:numRef>
              <c:f>Sheet1!$C$9:$M$9</c:f>
              <c:numCache>
                <c:formatCode>0.0%</c:formatCode>
                <c:ptCount val="11"/>
                <c:pt idx="1">
                  <c:v>0.1</c:v>
                </c:pt>
                <c:pt idx="2" formatCode="General">
                  <c:v>7.0000000000000007E-2</c:v>
                </c:pt>
                <c:pt idx="3" formatCode="General">
                  <c:v>0.05</c:v>
                </c:pt>
                <c:pt idx="4" formatCode="General">
                  <c:v>0.05</c:v>
                </c:pt>
                <c:pt idx="5" formatCode="General">
                  <c:v>0.05</c:v>
                </c:pt>
                <c:pt idx="6" formatCode="General">
                  <c:v>0.05</c:v>
                </c:pt>
                <c:pt idx="7" formatCode="General">
                  <c:v>0.05</c:v>
                </c:pt>
                <c:pt idx="8" formatCode="General">
                  <c:v>0.05</c:v>
                </c:pt>
                <c:pt idx="9" formatCode="General">
                  <c:v>0.05</c:v>
                </c:pt>
                <c:pt idx="10" formatCode="General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60-4E68-8EA8-CBE7CBCF3AFA}"/>
            </c:ext>
          </c:extLst>
        </c:ser>
        <c:ser>
          <c:idx val="4"/>
          <c:order val="4"/>
          <c:tx>
            <c:strRef>
              <c:f>Sheet1!$B$10</c:f>
              <c:strCache>
                <c:ptCount val="1"/>
                <c:pt idx="0">
                  <c:v>Corporate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Sheet1!$C$5:$M$5</c:f>
              <c:numCache>
                <c:formatCode>yyyy</c:formatCode>
                <c:ptCount val="11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45656</c:v>
                </c:pt>
                <c:pt idx="5">
                  <c:v>46021</c:v>
                </c:pt>
                <c:pt idx="6">
                  <c:v>46386</c:v>
                </c:pt>
                <c:pt idx="7">
                  <c:v>46751</c:v>
                </c:pt>
                <c:pt idx="8">
                  <c:v>47116</c:v>
                </c:pt>
                <c:pt idx="9">
                  <c:v>47481</c:v>
                </c:pt>
                <c:pt idx="10">
                  <c:v>47846</c:v>
                </c:pt>
              </c:numCache>
            </c:numRef>
          </c:cat>
          <c:val>
            <c:numRef>
              <c:f>Sheet1!$C$10:$M$10</c:f>
              <c:numCache>
                <c:formatCode>_(* #,##0_);_(* \(#,##0\);_(* "-"??_);_(@_)</c:formatCode>
                <c:ptCount val="11"/>
                <c:pt idx="0" formatCode="General">
                  <c:v>2327</c:v>
                </c:pt>
                <c:pt idx="1">
                  <c:v>2559.7000000000003</c:v>
                </c:pt>
                <c:pt idx="2">
                  <c:v>2738.8790000000004</c:v>
                </c:pt>
                <c:pt idx="3">
                  <c:v>2875.8229500000007</c:v>
                </c:pt>
                <c:pt idx="4">
                  <c:v>3019.6140975000008</c:v>
                </c:pt>
                <c:pt idx="5">
                  <c:v>3170.5948023750011</c:v>
                </c:pt>
                <c:pt idx="6">
                  <c:v>3329.1245424937515</c:v>
                </c:pt>
                <c:pt idx="7">
                  <c:v>3495.5807696184393</c:v>
                </c:pt>
                <c:pt idx="8">
                  <c:v>3670.3598080993615</c:v>
                </c:pt>
                <c:pt idx="9">
                  <c:v>3853.8777985043298</c:v>
                </c:pt>
                <c:pt idx="10">
                  <c:v>4046.5716884295466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60-4E68-8EA8-CBE7CBCF3AFA}"/>
            </c:ext>
          </c:extLst>
        </c:ser>
        <c:ser>
          <c:idx val="5"/>
          <c:order val="5"/>
          <c:tx>
            <c:strRef>
              <c:f>Sheet1!$B$11</c:f>
              <c:strCache>
                <c:ptCount val="1"/>
                <c:pt idx="0">
                  <c:v>Growth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Sheet1!$C$5:$M$5</c:f>
              <c:numCache>
                <c:formatCode>yyyy</c:formatCode>
                <c:ptCount val="11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45656</c:v>
                </c:pt>
                <c:pt idx="5">
                  <c:v>46021</c:v>
                </c:pt>
                <c:pt idx="6">
                  <c:v>46386</c:v>
                </c:pt>
                <c:pt idx="7">
                  <c:v>46751</c:v>
                </c:pt>
                <c:pt idx="8">
                  <c:v>47116</c:v>
                </c:pt>
                <c:pt idx="9">
                  <c:v>47481</c:v>
                </c:pt>
                <c:pt idx="10">
                  <c:v>47846</c:v>
                </c:pt>
              </c:numCache>
            </c:numRef>
          </c:cat>
          <c:val>
            <c:numRef>
              <c:f>Sheet1!$C$11:$M$11</c:f>
              <c:numCache>
                <c:formatCode>0.0%</c:formatCode>
                <c:ptCount val="11"/>
                <c:pt idx="1">
                  <c:v>0.1</c:v>
                </c:pt>
                <c:pt idx="2" formatCode="General">
                  <c:v>7.0000000000000007E-2</c:v>
                </c:pt>
                <c:pt idx="3" formatCode="General">
                  <c:v>0.05</c:v>
                </c:pt>
                <c:pt idx="4" formatCode="General">
                  <c:v>0.05</c:v>
                </c:pt>
                <c:pt idx="5" formatCode="General">
                  <c:v>0.05</c:v>
                </c:pt>
                <c:pt idx="6" formatCode="General">
                  <c:v>0.05</c:v>
                </c:pt>
                <c:pt idx="7" formatCode="General">
                  <c:v>0.05</c:v>
                </c:pt>
                <c:pt idx="8" formatCode="General">
                  <c:v>0.05</c:v>
                </c:pt>
                <c:pt idx="9" formatCode="General">
                  <c:v>0.05</c:v>
                </c:pt>
                <c:pt idx="10" formatCode="General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60-4E68-8EA8-CBE7CBCF3AFA}"/>
            </c:ext>
          </c:extLst>
        </c:ser>
        <c:ser>
          <c:idx val="6"/>
          <c:order val="6"/>
          <c:tx>
            <c:strRef>
              <c:f>Sheet1!$B$12</c:f>
              <c:strCache>
                <c:ptCount val="1"/>
                <c:pt idx="0">
                  <c:v>Grocery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Sheet1!$C$5:$M$5</c:f>
              <c:numCache>
                <c:formatCode>yyyy</c:formatCode>
                <c:ptCount val="11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45656</c:v>
                </c:pt>
                <c:pt idx="5">
                  <c:v>46021</c:v>
                </c:pt>
                <c:pt idx="6">
                  <c:v>46386</c:v>
                </c:pt>
                <c:pt idx="7">
                  <c:v>46751</c:v>
                </c:pt>
                <c:pt idx="8">
                  <c:v>47116</c:v>
                </c:pt>
                <c:pt idx="9">
                  <c:v>47481</c:v>
                </c:pt>
                <c:pt idx="10">
                  <c:v>47846</c:v>
                </c:pt>
              </c:numCache>
            </c:numRef>
          </c:cat>
          <c:val>
            <c:numRef>
              <c:f>Sheet1!$C$12:$M$12</c:f>
              <c:numCache>
                <c:formatCode>_(* #,##0_);_(* \(#,##0\);_(* "-"??_);_(@_)</c:formatCode>
                <c:ptCount val="11"/>
                <c:pt idx="0" formatCode="General">
                  <c:v>893</c:v>
                </c:pt>
                <c:pt idx="1">
                  <c:v>982.30000000000007</c:v>
                </c:pt>
                <c:pt idx="2">
                  <c:v>1051.0610000000001</c:v>
                </c:pt>
                <c:pt idx="3">
                  <c:v>1103.6140500000001</c:v>
                </c:pt>
                <c:pt idx="4">
                  <c:v>1158.7947525000002</c:v>
                </c:pt>
                <c:pt idx="5">
                  <c:v>1216.7344901250003</c:v>
                </c:pt>
                <c:pt idx="6">
                  <c:v>1277.5712146312503</c:v>
                </c:pt>
                <c:pt idx="7">
                  <c:v>1341.4497753628129</c:v>
                </c:pt>
                <c:pt idx="8">
                  <c:v>1408.5222641309535</c:v>
                </c:pt>
                <c:pt idx="9">
                  <c:v>1478.9483773375014</c:v>
                </c:pt>
                <c:pt idx="10">
                  <c:v>1552.8957962043764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60-4E68-8EA8-CBE7CBCF3AFA}"/>
            </c:ext>
          </c:extLst>
        </c:ser>
        <c:ser>
          <c:idx val="7"/>
          <c:order val="7"/>
          <c:tx>
            <c:strRef>
              <c:f>Sheet1!$B$13</c:f>
              <c:strCache>
                <c:ptCount val="1"/>
                <c:pt idx="0">
                  <c:v>Growth %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Sheet1!$C$5:$M$5</c:f>
              <c:numCache>
                <c:formatCode>yyyy</c:formatCode>
                <c:ptCount val="11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45656</c:v>
                </c:pt>
                <c:pt idx="5">
                  <c:v>46021</c:v>
                </c:pt>
                <c:pt idx="6">
                  <c:v>46386</c:v>
                </c:pt>
                <c:pt idx="7">
                  <c:v>46751</c:v>
                </c:pt>
                <c:pt idx="8">
                  <c:v>47116</c:v>
                </c:pt>
                <c:pt idx="9">
                  <c:v>47481</c:v>
                </c:pt>
                <c:pt idx="10">
                  <c:v>47846</c:v>
                </c:pt>
              </c:numCache>
            </c:numRef>
          </c:cat>
          <c:val>
            <c:numRef>
              <c:f>Sheet1!$C$13:$M$13</c:f>
              <c:numCache>
                <c:formatCode>0.0%</c:formatCode>
                <c:ptCount val="11"/>
                <c:pt idx="1">
                  <c:v>0.1</c:v>
                </c:pt>
                <c:pt idx="2" formatCode="General">
                  <c:v>7.0000000000000007E-2</c:v>
                </c:pt>
                <c:pt idx="3" formatCode="General">
                  <c:v>0.05</c:v>
                </c:pt>
                <c:pt idx="4" formatCode="General">
                  <c:v>0.05</c:v>
                </c:pt>
                <c:pt idx="5" formatCode="General">
                  <c:v>0.05</c:v>
                </c:pt>
                <c:pt idx="6" formatCode="General">
                  <c:v>0.05</c:v>
                </c:pt>
                <c:pt idx="7" formatCode="General">
                  <c:v>0.05</c:v>
                </c:pt>
                <c:pt idx="8" formatCode="General">
                  <c:v>0.05</c:v>
                </c:pt>
                <c:pt idx="9" formatCode="General">
                  <c:v>0.05</c:v>
                </c:pt>
                <c:pt idx="10" formatCode="General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60-4E68-8EA8-CBE7CBCF3AFA}"/>
            </c:ext>
          </c:extLst>
        </c:ser>
        <c:ser>
          <c:idx val="8"/>
          <c:order val="8"/>
          <c:tx>
            <c:strRef>
              <c:f>Sheet1!$B$14</c:f>
              <c:strCache>
                <c:ptCount val="1"/>
                <c:pt idx="0">
                  <c:v>Discounts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Sheet1!$C$5:$M$5</c:f>
              <c:numCache>
                <c:formatCode>yyyy</c:formatCode>
                <c:ptCount val="11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45656</c:v>
                </c:pt>
                <c:pt idx="5">
                  <c:v>46021</c:v>
                </c:pt>
                <c:pt idx="6">
                  <c:v>46386</c:v>
                </c:pt>
                <c:pt idx="7">
                  <c:v>46751</c:v>
                </c:pt>
                <c:pt idx="8">
                  <c:v>47116</c:v>
                </c:pt>
                <c:pt idx="9">
                  <c:v>47481</c:v>
                </c:pt>
                <c:pt idx="10">
                  <c:v>47846</c:v>
                </c:pt>
              </c:numCache>
            </c:numRef>
          </c:cat>
          <c:val>
            <c:numRef>
              <c:f>Sheet1!$C$14:$M$14</c:f>
              <c:numCache>
                <c:formatCode>_(* #,##0_);_(* \(#,##0\);_(* "-"??_);_(@_)</c:formatCode>
                <c:ptCount val="11"/>
                <c:pt idx="0">
                  <c:v>-447</c:v>
                </c:pt>
                <c:pt idx="1">
                  <c:v>-517.80800000000011</c:v>
                </c:pt>
                <c:pt idx="2">
                  <c:v>-554.04863999999998</c:v>
                </c:pt>
                <c:pt idx="3">
                  <c:v>-581.74731200000019</c:v>
                </c:pt>
                <c:pt idx="4">
                  <c:v>-610.83427760000018</c:v>
                </c:pt>
                <c:pt idx="5">
                  <c:v>-641.37559148000025</c:v>
                </c:pt>
                <c:pt idx="6">
                  <c:v>-673.44397105400026</c:v>
                </c:pt>
                <c:pt idx="7">
                  <c:v>-707.11576960670038</c:v>
                </c:pt>
                <c:pt idx="8">
                  <c:v>-742.47115808703541</c:v>
                </c:pt>
                <c:pt idx="9">
                  <c:v>-779.59431599138725</c:v>
                </c:pt>
                <c:pt idx="10">
                  <c:v>-818.5736317909566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60-4E68-8EA8-CBE7CBCF3AFA}"/>
            </c:ext>
          </c:extLst>
        </c:ser>
        <c:ser>
          <c:idx val="10"/>
          <c:order val="9"/>
          <c:tx>
            <c:strRef>
              <c:f>Sheet1!$B$16</c:f>
              <c:strCache>
                <c:ptCount val="1"/>
                <c:pt idx="0">
                  <c:v>Growth %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Sheet1!$C$5:$M$5</c:f>
              <c:numCache>
                <c:formatCode>yyyy</c:formatCode>
                <c:ptCount val="11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45656</c:v>
                </c:pt>
                <c:pt idx="5">
                  <c:v>46021</c:v>
                </c:pt>
                <c:pt idx="6">
                  <c:v>46386</c:v>
                </c:pt>
                <c:pt idx="7">
                  <c:v>46751</c:v>
                </c:pt>
                <c:pt idx="8">
                  <c:v>47116</c:v>
                </c:pt>
                <c:pt idx="9">
                  <c:v>47481</c:v>
                </c:pt>
                <c:pt idx="10">
                  <c:v>47846</c:v>
                </c:pt>
              </c:numCache>
            </c:numRef>
          </c:cat>
          <c:val>
            <c:numRef>
              <c:f>Sheet1!$C$16:$M$16</c:f>
              <c:numCache>
                <c:formatCode>0.0%</c:formatCode>
                <c:ptCount val="11"/>
                <c:pt idx="1">
                  <c:v>9.5253264668015758E-2</c:v>
                </c:pt>
                <c:pt idx="2">
                  <c:v>6.9982354004068936E-2</c:v>
                </c:pt>
                <c:pt idx="3">
                  <c:v>4.9989525442202032E-2</c:v>
                </c:pt>
                <c:pt idx="4">
                  <c:v>4.9998938737356502E-2</c:v>
                </c:pt>
                <c:pt idx="5">
                  <c:v>4.9998989272651562E-2</c:v>
                </c:pt>
                <c:pt idx="6">
                  <c:v>4.999903740159839E-2</c:v>
                </c:pt>
                <c:pt idx="7">
                  <c:v>4.9999083238777109E-2</c:v>
                </c:pt>
                <c:pt idx="8">
                  <c:v>4.9999126893311319E-2</c:v>
                </c:pt>
                <c:pt idx="9">
                  <c:v>4.9999168469128774E-2</c:v>
                </c:pt>
                <c:pt idx="10">
                  <c:v>4.9999208065209855E-2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60-4E68-8EA8-CBE7CBCF3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709375"/>
        <c:axId val="8267084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Sheet1!$C$5:$M$5</c15:sqref>
                        </c15:formulaRef>
                      </c:ext>
                    </c:extLst>
                    <c:numCache>
                      <c:formatCode>yyyy</c:formatCode>
                      <c:ptCount val="11"/>
                      <c:pt idx="0">
                        <c:v>44196</c:v>
                      </c:pt>
                      <c:pt idx="1">
                        <c:v>44561</c:v>
                      </c:pt>
                      <c:pt idx="2">
                        <c:v>44926</c:v>
                      </c:pt>
                      <c:pt idx="3">
                        <c:v>45291</c:v>
                      </c:pt>
                      <c:pt idx="4">
                        <c:v>45656</c:v>
                      </c:pt>
                      <c:pt idx="5">
                        <c:v>46021</c:v>
                      </c:pt>
                      <c:pt idx="6">
                        <c:v>46386</c:v>
                      </c:pt>
                      <c:pt idx="7">
                        <c:v>46751</c:v>
                      </c:pt>
                      <c:pt idx="8">
                        <c:v>47116</c:v>
                      </c:pt>
                      <c:pt idx="9">
                        <c:v>47481</c:v>
                      </c:pt>
                      <c:pt idx="10">
                        <c:v>47846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Sheet1!$C$6:$M$6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60-4E68-8EA8-CBE7CBCF3AFA}"/>
                  </c:ext>
                </c:extLst>
              </c15:ser>
            </c15:filteredBarSeries>
          </c:ext>
        </c:extLst>
      </c:barChart>
      <c:dateAx>
        <c:axId val="826709375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708415"/>
        <c:crosses val="autoZero"/>
        <c:auto val="1"/>
        <c:lblOffset val="100"/>
        <c:baseTimeUnit val="years"/>
      </c:dateAx>
      <c:valAx>
        <c:axId val="826708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709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4E7B4DCB-0A6F-4144-8E62-0D7D783ECDED}">
          <cx:dataLabels pos="outEnd">
            <cx:visibility seriesName="0" categoryName="0" value="1"/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/>
            </a:pPr>
            <a:endParaRPr lang="en-US" sz="9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409337</xdr:colOff>
      <xdr:row>39</xdr:row>
      <xdr:rowOff>98117</xdr:rowOff>
    </xdr:from>
    <xdr:to>
      <xdr:col>18</xdr:col>
      <xdr:colOff>728202</xdr:colOff>
      <xdr:row>55</xdr:row>
      <xdr:rowOff>53735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844A0D-D272-E524-A9C5-CBC427F18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590455</xdr:colOff>
      <xdr:row>38</xdr:row>
      <xdr:rowOff>173251</xdr:rowOff>
    </xdr:from>
    <xdr:to>
      <xdr:col>31</xdr:col>
      <xdr:colOff>385739</xdr:colOff>
      <xdr:row>54</xdr:row>
      <xdr:rowOff>35257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E9539A18-6E4D-E159-74AF-F383C3380F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504055" y="6999501"/>
              <a:ext cx="4595884" cy="27068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Q106"/>
  <sheetViews>
    <sheetView showGridLines="0" tabSelected="1" topLeftCell="A36" zoomScale="70" workbookViewId="0">
      <selection activeCell="P61" sqref="P61"/>
    </sheetView>
  </sheetViews>
  <sheetFormatPr defaultRowHeight="14" x14ac:dyDescent="0.3"/>
  <cols>
    <col min="1" max="1" width="1.6328125" style="1" customWidth="1"/>
    <col min="2" max="2" width="25.6328125" style="1" customWidth="1"/>
    <col min="3" max="3" width="10.6328125" style="1" bestFit="1" customWidth="1"/>
    <col min="4" max="4" width="8.6328125" style="1" customWidth="1"/>
    <col min="5" max="13" width="11.36328125" style="1" bestFit="1" customWidth="1"/>
    <col min="14" max="14" width="10.6328125" style="1" bestFit="1" customWidth="1"/>
    <col min="15" max="15" width="8.7265625" style="1"/>
    <col min="16" max="16" width="25.6328125" style="1" customWidth="1"/>
    <col min="17" max="17" width="15.6328125" style="1" customWidth="1"/>
    <col min="18" max="20" width="10.6328125" style="1" customWidth="1"/>
    <col min="21" max="21" width="11.81640625" style="1" bestFit="1" customWidth="1"/>
    <col min="22" max="28" width="10.6328125" style="1" customWidth="1"/>
    <col min="29" max="16384" width="8.7265625" style="1"/>
  </cols>
  <sheetData>
    <row r="3" spans="1:43" x14ac:dyDescent="0.3">
      <c r="A3" s="1" t="s">
        <v>0</v>
      </c>
      <c r="B3" s="2" t="s">
        <v>90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 t="s">
        <v>24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43" x14ac:dyDescent="0.3">
      <c r="Q4" s="1" t="s">
        <v>25</v>
      </c>
    </row>
    <row r="5" spans="1:43" ht="17" x14ac:dyDescent="0.6">
      <c r="B5" s="10" t="s">
        <v>1</v>
      </c>
      <c r="C5" s="11">
        <v>44196</v>
      </c>
      <c r="D5" s="11">
        <f>C5+365</f>
        <v>44561</v>
      </c>
      <c r="E5" s="11">
        <f t="shared" ref="E5:M5" si="0">D5+365</f>
        <v>44926</v>
      </c>
      <c r="F5" s="11">
        <f t="shared" si="0"/>
        <v>45291</v>
      </c>
      <c r="G5" s="11">
        <f t="shared" si="0"/>
        <v>45656</v>
      </c>
      <c r="H5" s="11">
        <f t="shared" si="0"/>
        <v>46021</v>
      </c>
      <c r="I5" s="11">
        <f t="shared" si="0"/>
        <v>46386</v>
      </c>
      <c r="J5" s="11">
        <f t="shared" si="0"/>
        <v>46751</v>
      </c>
      <c r="K5" s="11">
        <f t="shared" si="0"/>
        <v>47116</v>
      </c>
      <c r="L5" s="11">
        <f t="shared" si="0"/>
        <v>47481</v>
      </c>
      <c r="M5" s="11">
        <f t="shared" si="0"/>
        <v>47846</v>
      </c>
      <c r="N5" s="11" t="s">
        <v>80</v>
      </c>
      <c r="Q5" s="9">
        <v>2</v>
      </c>
    </row>
    <row r="6" spans="1:43" x14ac:dyDescent="0.3">
      <c r="P6" s="12" t="s">
        <v>27</v>
      </c>
      <c r="Q6" s="25" t="str">
        <f ca="1">OFFSET(Q6,,$Q$5)</f>
        <v>Base S</v>
      </c>
      <c r="R6" s="25" t="s">
        <v>26</v>
      </c>
      <c r="S6" s="25" t="s">
        <v>42</v>
      </c>
      <c r="T6" s="25" t="s">
        <v>43</v>
      </c>
      <c r="U6" s="25" t="s">
        <v>44</v>
      </c>
      <c r="V6" s="25" t="s">
        <v>45</v>
      </c>
      <c r="W6" s="25" t="s">
        <v>46</v>
      </c>
      <c r="X6" s="12" t="s">
        <v>11</v>
      </c>
      <c r="Y6" s="25" t="s">
        <v>47</v>
      </c>
      <c r="Z6" s="25"/>
      <c r="AA6" s="12"/>
      <c r="AB6" s="12"/>
    </row>
    <row r="7" spans="1:43" x14ac:dyDescent="0.3">
      <c r="B7" s="22" t="s">
        <v>2</v>
      </c>
      <c r="P7" s="1" t="s">
        <v>28</v>
      </c>
      <c r="Q7" s="57">
        <f t="shared" ref="Q7:Q16" ca="1" si="1">OFFSET(Q7,,$Q$5)</f>
        <v>0.1</v>
      </c>
      <c r="R7" s="13">
        <v>0.1</v>
      </c>
      <c r="S7" s="13">
        <v>0.1</v>
      </c>
      <c r="T7" s="13">
        <v>0.12</v>
      </c>
      <c r="U7" s="13">
        <v>0.05</v>
      </c>
      <c r="V7" s="13">
        <v>0</v>
      </c>
      <c r="W7" s="13">
        <f>R7</f>
        <v>0.1</v>
      </c>
      <c r="X7" s="13">
        <f>W7</f>
        <v>0.1</v>
      </c>
      <c r="Y7" s="13">
        <f>X7</f>
        <v>0.1</v>
      </c>
      <c r="Z7" s="46">
        <v>0.12</v>
      </c>
      <c r="AA7" s="13">
        <f t="shared" ref="AA7:AL21" si="2">$R7</f>
        <v>0.1</v>
      </c>
      <c r="AB7" s="13">
        <f t="shared" si="2"/>
        <v>0.1</v>
      </c>
      <c r="AC7" s="13">
        <f t="shared" si="2"/>
        <v>0.1</v>
      </c>
      <c r="AD7" s="13">
        <f t="shared" si="2"/>
        <v>0.1</v>
      </c>
      <c r="AE7" s="13">
        <f t="shared" si="2"/>
        <v>0.1</v>
      </c>
      <c r="AF7" s="13">
        <f t="shared" si="2"/>
        <v>0.1</v>
      </c>
      <c r="AG7" s="13">
        <f t="shared" si="2"/>
        <v>0.1</v>
      </c>
      <c r="AH7" s="13">
        <f t="shared" si="2"/>
        <v>0.1</v>
      </c>
      <c r="AI7" s="13">
        <f t="shared" si="2"/>
        <v>0.1</v>
      </c>
      <c r="AJ7" s="13">
        <f t="shared" si="2"/>
        <v>0.1</v>
      </c>
      <c r="AK7" s="13">
        <f t="shared" si="2"/>
        <v>0.1</v>
      </c>
      <c r="AL7" s="13">
        <f t="shared" si="2"/>
        <v>0.1</v>
      </c>
      <c r="AM7" s="13">
        <f t="shared" ref="AM7:AQ17" si="3">$R7</f>
        <v>0.1</v>
      </c>
      <c r="AN7" s="13">
        <f t="shared" si="3"/>
        <v>0.1</v>
      </c>
      <c r="AO7" s="13">
        <f t="shared" si="3"/>
        <v>0.1</v>
      </c>
      <c r="AP7" s="13">
        <f t="shared" si="3"/>
        <v>0.1</v>
      </c>
      <c r="AQ7" s="13">
        <f t="shared" si="3"/>
        <v>0.1</v>
      </c>
    </row>
    <row r="8" spans="1:43" x14ac:dyDescent="0.3">
      <c r="B8" s="5" t="s">
        <v>3</v>
      </c>
      <c r="C8" s="27">
        <v>2664</v>
      </c>
      <c r="D8" s="28">
        <f ca="1">C8*(1+D9)</f>
        <v>2930.4</v>
      </c>
      <c r="E8" s="28">
        <f t="shared" ref="E8:M8" ca="1" si="4">D8*(1+E9)</f>
        <v>3135.5280000000002</v>
      </c>
      <c r="F8" s="28">
        <f t="shared" ca="1" si="4"/>
        <v>3292.3044000000004</v>
      </c>
      <c r="G8" s="28">
        <f t="shared" ca="1" si="4"/>
        <v>3456.9196200000006</v>
      </c>
      <c r="H8" s="28">
        <f t="shared" ca="1" si="4"/>
        <v>3629.765601000001</v>
      </c>
      <c r="I8" s="28">
        <f t="shared" ca="1" si="4"/>
        <v>3811.2538810500014</v>
      </c>
      <c r="J8" s="28">
        <f t="shared" ca="1" si="4"/>
        <v>4001.8165751025017</v>
      </c>
      <c r="K8" s="28">
        <f t="shared" ca="1" si="4"/>
        <v>4201.9074038576273</v>
      </c>
      <c r="L8" s="28">
        <f t="shared" ca="1" si="4"/>
        <v>4412.0027740505093</v>
      </c>
      <c r="M8" s="28">
        <f t="shared" ca="1" si="4"/>
        <v>4632.6029127530346</v>
      </c>
      <c r="P8" s="1" t="s">
        <v>29</v>
      </c>
      <c r="Q8" s="57">
        <f t="shared" ca="1" si="1"/>
        <v>7.0000000000000007E-2</v>
      </c>
      <c r="R8" s="13">
        <v>7.0000000000000007E-2</v>
      </c>
      <c r="S8" s="13">
        <v>7.0000000000000007E-2</v>
      </c>
      <c r="T8" s="13">
        <v>0.08</v>
      </c>
      <c r="U8" s="13">
        <v>0.05</v>
      </c>
      <c r="V8" s="13">
        <v>0</v>
      </c>
      <c r="W8" s="13">
        <f t="shared" ref="W8:W16" si="5">R8</f>
        <v>7.0000000000000007E-2</v>
      </c>
      <c r="X8" s="13">
        <f t="shared" ref="X8:Y28" si="6">W8</f>
        <v>7.0000000000000007E-2</v>
      </c>
      <c r="Y8" s="13">
        <f t="shared" si="6"/>
        <v>7.0000000000000007E-2</v>
      </c>
      <c r="Z8" s="13">
        <f t="shared" ref="Z8:AH28" si="7">$R8</f>
        <v>7.0000000000000007E-2</v>
      </c>
      <c r="AA8" s="46">
        <v>0.09</v>
      </c>
      <c r="AB8" s="13">
        <f t="shared" si="7"/>
        <v>7.0000000000000007E-2</v>
      </c>
      <c r="AC8" s="13">
        <f t="shared" si="7"/>
        <v>7.0000000000000007E-2</v>
      </c>
      <c r="AD8" s="13">
        <f t="shared" si="7"/>
        <v>7.0000000000000007E-2</v>
      </c>
      <c r="AE8" s="13">
        <f t="shared" si="7"/>
        <v>7.0000000000000007E-2</v>
      </c>
      <c r="AF8" s="13">
        <f t="shared" si="7"/>
        <v>7.0000000000000007E-2</v>
      </c>
      <c r="AG8" s="13">
        <f t="shared" si="7"/>
        <v>7.0000000000000007E-2</v>
      </c>
      <c r="AH8" s="13">
        <f t="shared" si="7"/>
        <v>7.0000000000000007E-2</v>
      </c>
      <c r="AI8" s="13">
        <f t="shared" si="2"/>
        <v>7.0000000000000007E-2</v>
      </c>
      <c r="AJ8" s="13">
        <f t="shared" si="2"/>
        <v>7.0000000000000007E-2</v>
      </c>
      <c r="AK8" s="13">
        <f t="shared" si="2"/>
        <v>7.0000000000000007E-2</v>
      </c>
      <c r="AL8" s="13">
        <f t="shared" si="2"/>
        <v>7.0000000000000007E-2</v>
      </c>
      <c r="AM8" s="13">
        <f t="shared" si="3"/>
        <v>7.0000000000000007E-2</v>
      </c>
      <c r="AN8" s="13">
        <f t="shared" si="3"/>
        <v>7.0000000000000007E-2</v>
      </c>
      <c r="AO8" s="13">
        <f t="shared" si="3"/>
        <v>7.0000000000000007E-2</v>
      </c>
      <c r="AP8" s="13">
        <f t="shared" si="3"/>
        <v>7.0000000000000007E-2</v>
      </c>
      <c r="AQ8" s="13">
        <f t="shared" si="3"/>
        <v>7.0000000000000007E-2</v>
      </c>
    </row>
    <row r="9" spans="1:43" x14ac:dyDescent="0.3">
      <c r="B9" s="3" t="s">
        <v>8</v>
      </c>
      <c r="C9" s="4"/>
      <c r="D9" s="15">
        <f ca="1">$Q$7</f>
        <v>0.1</v>
      </c>
      <c r="E9" s="1">
        <f ca="1">$Q$8</f>
        <v>7.0000000000000007E-2</v>
      </c>
      <c r="F9" s="1">
        <f ca="1">$Q$9</f>
        <v>0.05</v>
      </c>
      <c r="G9" s="1">
        <f t="shared" ref="G9:M9" ca="1" si="8">$Q$9</f>
        <v>0.05</v>
      </c>
      <c r="H9" s="1">
        <f t="shared" ca="1" si="8"/>
        <v>0.05</v>
      </c>
      <c r="I9" s="1">
        <f t="shared" ca="1" si="8"/>
        <v>0.05</v>
      </c>
      <c r="J9" s="1">
        <f t="shared" ca="1" si="8"/>
        <v>0.05</v>
      </c>
      <c r="K9" s="1">
        <f t="shared" ca="1" si="8"/>
        <v>0.05</v>
      </c>
      <c r="L9" s="1">
        <f t="shared" ca="1" si="8"/>
        <v>0.05</v>
      </c>
      <c r="M9" s="1">
        <f t="shared" ca="1" si="8"/>
        <v>0.05</v>
      </c>
      <c r="P9" s="1" t="s">
        <v>30</v>
      </c>
      <c r="Q9" s="57">
        <f t="shared" ca="1" si="1"/>
        <v>0.05</v>
      </c>
      <c r="R9" s="13">
        <v>0.05</v>
      </c>
      <c r="S9" s="13">
        <v>0.05</v>
      </c>
      <c r="T9" s="13">
        <v>0.06</v>
      </c>
      <c r="U9" s="13">
        <v>0.04</v>
      </c>
      <c r="V9" s="13">
        <v>0</v>
      </c>
      <c r="W9" s="13">
        <f t="shared" si="5"/>
        <v>0.05</v>
      </c>
      <c r="X9" s="13">
        <f t="shared" si="6"/>
        <v>0.05</v>
      </c>
      <c r="Y9" s="13">
        <f t="shared" si="6"/>
        <v>0.05</v>
      </c>
      <c r="Z9" s="13">
        <f t="shared" si="7"/>
        <v>0.05</v>
      </c>
      <c r="AA9" s="13">
        <f t="shared" si="2"/>
        <v>0.05</v>
      </c>
      <c r="AB9" s="46">
        <v>7.0000000000000007E-2</v>
      </c>
      <c r="AC9" s="13">
        <f t="shared" si="2"/>
        <v>0.05</v>
      </c>
      <c r="AD9" s="13">
        <f t="shared" si="2"/>
        <v>0.05</v>
      </c>
      <c r="AE9" s="13">
        <f t="shared" si="2"/>
        <v>0.05</v>
      </c>
      <c r="AF9" s="13">
        <f t="shared" si="2"/>
        <v>0.05</v>
      </c>
      <c r="AG9" s="13">
        <f t="shared" si="2"/>
        <v>0.05</v>
      </c>
      <c r="AH9" s="13">
        <f t="shared" si="2"/>
        <v>0.05</v>
      </c>
      <c r="AI9" s="13">
        <f t="shared" si="2"/>
        <v>0.05</v>
      </c>
      <c r="AJ9" s="13">
        <f t="shared" si="2"/>
        <v>0.05</v>
      </c>
      <c r="AK9" s="13">
        <f t="shared" si="2"/>
        <v>0.05</v>
      </c>
      <c r="AL9" s="13">
        <f t="shared" si="2"/>
        <v>0.05</v>
      </c>
      <c r="AM9" s="13">
        <f t="shared" si="3"/>
        <v>0.05</v>
      </c>
      <c r="AN9" s="13">
        <f t="shared" si="3"/>
        <v>0.05</v>
      </c>
      <c r="AO9" s="13">
        <f t="shared" si="3"/>
        <v>0.05</v>
      </c>
      <c r="AP9" s="13">
        <f t="shared" si="3"/>
        <v>0.05</v>
      </c>
      <c r="AQ9" s="13">
        <f t="shared" si="3"/>
        <v>0.05</v>
      </c>
    </row>
    <row r="10" spans="1:43" x14ac:dyDescent="0.3">
      <c r="B10" s="1" t="s">
        <v>4</v>
      </c>
      <c r="C10" s="4">
        <v>2327</v>
      </c>
      <c r="D10" s="14">
        <f ca="1">C10*(1+D11)</f>
        <v>2559.7000000000003</v>
      </c>
      <c r="E10" s="14">
        <f t="shared" ref="E10:M10" ca="1" si="9">D10*(1+E11)</f>
        <v>2738.8790000000004</v>
      </c>
      <c r="F10" s="14">
        <f t="shared" ca="1" si="9"/>
        <v>2875.8229500000007</v>
      </c>
      <c r="G10" s="14">
        <f t="shared" ca="1" si="9"/>
        <v>3019.6140975000008</v>
      </c>
      <c r="H10" s="14">
        <f t="shared" ca="1" si="9"/>
        <v>3170.5948023750011</v>
      </c>
      <c r="I10" s="14">
        <f t="shared" ca="1" si="9"/>
        <v>3329.1245424937515</v>
      </c>
      <c r="J10" s="14">
        <f t="shared" ca="1" si="9"/>
        <v>3495.5807696184393</v>
      </c>
      <c r="K10" s="14">
        <f t="shared" ca="1" si="9"/>
        <v>3670.3598080993615</v>
      </c>
      <c r="L10" s="14">
        <f t="shared" ca="1" si="9"/>
        <v>3853.8777985043298</v>
      </c>
      <c r="M10" s="14">
        <f t="shared" ca="1" si="9"/>
        <v>4046.5716884295466</v>
      </c>
      <c r="P10" s="1" t="s">
        <v>31</v>
      </c>
      <c r="Q10" s="57">
        <f t="shared" ca="1" si="1"/>
        <v>0.1</v>
      </c>
      <c r="R10" s="13">
        <v>0.1</v>
      </c>
      <c r="S10" s="13">
        <v>0.1</v>
      </c>
      <c r="T10" s="13">
        <v>0.12</v>
      </c>
      <c r="U10" s="13">
        <v>0.05</v>
      </c>
      <c r="V10" s="13">
        <v>0</v>
      </c>
      <c r="W10" s="13">
        <f t="shared" si="5"/>
        <v>0.1</v>
      </c>
      <c r="X10" s="13">
        <f t="shared" si="6"/>
        <v>0.1</v>
      </c>
      <c r="Y10" s="13">
        <f t="shared" si="6"/>
        <v>0.1</v>
      </c>
      <c r="Z10" s="13">
        <f t="shared" si="7"/>
        <v>0.1</v>
      </c>
      <c r="AA10" s="13">
        <f t="shared" si="2"/>
        <v>0.1</v>
      </c>
      <c r="AB10" s="13">
        <f t="shared" si="2"/>
        <v>0.1</v>
      </c>
      <c r="AC10" s="13">
        <f t="shared" si="2"/>
        <v>0.1</v>
      </c>
      <c r="AD10" s="13">
        <f t="shared" si="2"/>
        <v>0.1</v>
      </c>
      <c r="AE10" s="13">
        <f t="shared" si="2"/>
        <v>0.1</v>
      </c>
      <c r="AF10" s="13">
        <f t="shared" si="2"/>
        <v>0.1</v>
      </c>
      <c r="AG10" s="13">
        <f t="shared" si="2"/>
        <v>0.1</v>
      </c>
      <c r="AH10" s="13">
        <f t="shared" si="2"/>
        <v>0.1</v>
      </c>
      <c r="AI10" s="13">
        <f t="shared" si="2"/>
        <v>0.1</v>
      </c>
      <c r="AJ10" s="13">
        <f t="shared" si="2"/>
        <v>0.1</v>
      </c>
      <c r="AK10" s="13">
        <f t="shared" si="2"/>
        <v>0.1</v>
      </c>
      <c r="AL10" s="13">
        <f t="shared" si="2"/>
        <v>0.1</v>
      </c>
      <c r="AM10" s="13">
        <f t="shared" si="3"/>
        <v>0.1</v>
      </c>
      <c r="AN10" s="13">
        <f t="shared" si="3"/>
        <v>0.1</v>
      </c>
      <c r="AO10" s="13">
        <f t="shared" si="3"/>
        <v>0.1</v>
      </c>
      <c r="AP10" s="13">
        <f t="shared" si="3"/>
        <v>0.1</v>
      </c>
      <c r="AQ10" s="13">
        <f t="shared" si="3"/>
        <v>0.1</v>
      </c>
    </row>
    <row r="11" spans="1:43" x14ac:dyDescent="0.3">
      <c r="B11" s="3" t="s">
        <v>8</v>
      </c>
      <c r="C11" s="4"/>
      <c r="D11" s="15">
        <f ca="1">$Q$10</f>
        <v>0.1</v>
      </c>
      <c r="E11" s="1">
        <f ca="1">$Q$11</f>
        <v>7.0000000000000007E-2</v>
      </c>
      <c r="F11" s="1">
        <f ca="1">$Q$12</f>
        <v>0.05</v>
      </c>
      <c r="G11" s="1">
        <f t="shared" ref="G11:M11" ca="1" si="10">$Q$12</f>
        <v>0.05</v>
      </c>
      <c r="H11" s="1">
        <f t="shared" ca="1" si="10"/>
        <v>0.05</v>
      </c>
      <c r="I11" s="1">
        <f t="shared" ca="1" si="10"/>
        <v>0.05</v>
      </c>
      <c r="J11" s="1">
        <f t="shared" ca="1" si="10"/>
        <v>0.05</v>
      </c>
      <c r="K11" s="1">
        <f t="shared" ca="1" si="10"/>
        <v>0.05</v>
      </c>
      <c r="L11" s="1">
        <f t="shared" ca="1" si="10"/>
        <v>0.05</v>
      </c>
      <c r="M11" s="1">
        <f t="shared" ca="1" si="10"/>
        <v>0.05</v>
      </c>
      <c r="P11" s="1" t="s">
        <v>32</v>
      </c>
      <c r="Q11" s="57">
        <f t="shared" ca="1" si="1"/>
        <v>7.0000000000000007E-2</v>
      </c>
      <c r="R11" s="13">
        <v>7.0000000000000007E-2</v>
      </c>
      <c r="S11" s="13">
        <v>7.0000000000000007E-2</v>
      </c>
      <c r="T11" s="13">
        <v>0.08</v>
      </c>
      <c r="U11" s="13">
        <v>0.05</v>
      </c>
      <c r="V11" s="13">
        <v>0</v>
      </c>
      <c r="W11" s="13">
        <f t="shared" si="5"/>
        <v>7.0000000000000007E-2</v>
      </c>
      <c r="X11" s="13">
        <f t="shared" si="6"/>
        <v>7.0000000000000007E-2</v>
      </c>
      <c r="Y11" s="13">
        <f t="shared" si="6"/>
        <v>7.0000000000000007E-2</v>
      </c>
      <c r="Z11" s="13">
        <f t="shared" si="7"/>
        <v>7.0000000000000007E-2</v>
      </c>
      <c r="AA11" s="13">
        <f t="shared" si="2"/>
        <v>7.0000000000000007E-2</v>
      </c>
      <c r="AB11" s="13">
        <f t="shared" si="2"/>
        <v>7.0000000000000007E-2</v>
      </c>
      <c r="AC11" s="13">
        <f t="shared" si="2"/>
        <v>7.0000000000000007E-2</v>
      </c>
      <c r="AD11" s="13">
        <f t="shared" si="2"/>
        <v>7.0000000000000007E-2</v>
      </c>
      <c r="AE11" s="13">
        <f t="shared" si="2"/>
        <v>7.0000000000000007E-2</v>
      </c>
      <c r="AF11" s="13">
        <f t="shared" si="2"/>
        <v>7.0000000000000007E-2</v>
      </c>
      <c r="AG11" s="13">
        <f t="shared" si="2"/>
        <v>7.0000000000000007E-2</v>
      </c>
      <c r="AH11" s="13">
        <f t="shared" si="2"/>
        <v>7.0000000000000007E-2</v>
      </c>
      <c r="AI11" s="13">
        <f t="shared" si="2"/>
        <v>7.0000000000000007E-2</v>
      </c>
      <c r="AJ11" s="13">
        <f t="shared" si="2"/>
        <v>7.0000000000000007E-2</v>
      </c>
      <c r="AK11" s="13">
        <f t="shared" si="2"/>
        <v>7.0000000000000007E-2</v>
      </c>
      <c r="AL11" s="13">
        <f t="shared" si="2"/>
        <v>7.0000000000000007E-2</v>
      </c>
      <c r="AM11" s="13">
        <f t="shared" si="3"/>
        <v>7.0000000000000007E-2</v>
      </c>
      <c r="AN11" s="13">
        <f t="shared" si="3"/>
        <v>7.0000000000000007E-2</v>
      </c>
      <c r="AO11" s="13">
        <f t="shared" si="3"/>
        <v>7.0000000000000007E-2</v>
      </c>
      <c r="AP11" s="13">
        <f t="shared" si="3"/>
        <v>7.0000000000000007E-2</v>
      </c>
      <c r="AQ11" s="13">
        <f t="shared" si="3"/>
        <v>7.0000000000000007E-2</v>
      </c>
    </row>
    <row r="12" spans="1:43" x14ac:dyDescent="0.3">
      <c r="B12" s="1" t="s">
        <v>5</v>
      </c>
      <c r="C12" s="4">
        <v>893</v>
      </c>
      <c r="D12" s="14">
        <f ca="1">C12*(1+D13)</f>
        <v>982.30000000000007</v>
      </c>
      <c r="E12" s="14">
        <f t="shared" ref="E12:M12" ca="1" si="11">D12*(1+E13)</f>
        <v>1051.0610000000001</v>
      </c>
      <c r="F12" s="14">
        <f t="shared" ca="1" si="11"/>
        <v>1103.6140500000001</v>
      </c>
      <c r="G12" s="14">
        <f t="shared" ca="1" si="11"/>
        <v>1158.7947525000002</v>
      </c>
      <c r="H12" s="14">
        <f t="shared" ca="1" si="11"/>
        <v>1216.7344901250003</v>
      </c>
      <c r="I12" s="14">
        <f t="shared" ca="1" si="11"/>
        <v>1277.5712146312503</v>
      </c>
      <c r="J12" s="14">
        <f t="shared" ca="1" si="11"/>
        <v>1341.4497753628129</v>
      </c>
      <c r="K12" s="14">
        <f t="shared" ca="1" si="11"/>
        <v>1408.5222641309535</v>
      </c>
      <c r="L12" s="14">
        <f t="shared" ca="1" si="11"/>
        <v>1478.9483773375014</v>
      </c>
      <c r="M12" s="14">
        <f t="shared" ca="1" si="11"/>
        <v>1552.8957962043764</v>
      </c>
      <c r="P12" s="1" t="s">
        <v>33</v>
      </c>
      <c r="Q12" s="57">
        <f t="shared" ca="1" si="1"/>
        <v>0.05</v>
      </c>
      <c r="R12" s="13">
        <v>0.05</v>
      </c>
      <c r="S12" s="13">
        <v>0.05</v>
      </c>
      <c r="T12" s="13">
        <v>0.06</v>
      </c>
      <c r="U12" s="13">
        <v>0.04</v>
      </c>
      <c r="V12" s="13">
        <v>0</v>
      </c>
      <c r="W12" s="13">
        <f t="shared" si="5"/>
        <v>0.05</v>
      </c>
      <c r="X12" s="13">
        <f t="shared" si="6"/>
        <v>0.05</v>
      </c>
      <c r="Y12" s="13">
        <f t="shared" si="6"/>
        <v>0.05</v>
      </c>
      <c r="Z12" s="13">
        <f t="shared" si="7"/>
        <v>0.05</v>
      </c>
      <c r="AA12" s="13">
        <f t="shared" si="2"/>
        <v>0.05</v>
      </c>
      <c r="AB12" s="13">
        <f t="shared" si="2"/>
        <v>0.05</v>
      </c>
      <c r="AC12" s="13">
        <f t="shared" si="2"/>
        <v>0.05</v>
      </c>
      <c r="AD12" s="13">
        <f t="shared" si="2"/>
        <v>0.05</v>
      </c>
      <c r="AE12" s="13">
        <f t="shared" si="2"/>
        <v>0.05</v>
      </c>
      <c r="AF12" s="13">
        <f t="shared" si="2"/>
        <v>0.05</v>
      </c>
      <c r="AG12" s="13">
        <f t="shared" si="2"/>
        <v>0.05</v>
      </c>
      <c r="AH12" s="13">
        <f t="shared" si="2"/>
        <v>0.05</v>
      </c>
      <c r="AI12" s="13">
        <f t="shared" si="2"/>
        <v>0.05</v>
      </c>
      <c r="AJ12" s="13">
        <f t="shared" si="2"/>
        <v>0.05</v>
      </c>
      <c r="AK12" s="13">
        <f t="shared" si="2"/>
        <v>0.05</v>
      </c>
      <c r="AL12" s="13">
        <f t="shared" si="2"/>
        <v>0.05</v>
      </c>
      <c r="AM12" s="13">
        <f t="shared" si="3"/>
        <v>0.05</v>
      </c>
      <c r="AN12" s="13">
        <f t="shared" si="3"/>
        <v>0.05</v>
      </c>
      <c r="AO12" s="13">
        <f t="shared" si="3"/>
        <v>0.05</v>
      </c>
      <c r="AP12" s="13">
        <f t="shared" si="3"/>
        <v>0.05</v>
      </c>
      <c r="AQ12" s="13">
        <f t="shared" si="3"/>
        <v>0.05</v>
      </c>
    </row>
    <row r="13" spans="1:43" x14ac:dyDescent="0.3">
      <c r="B13" s="3" t="s">
        <v>8</v>
      </c>
      <c r="C13" s="4"/>
      <c r="D13" s="7">
        <f ca="1">$Q$13</f>
        <v>0.1</v>
      </c>
      <c r="E13" s="1">
        <f ca="1">$Q$14</f>
        <v>7.0000000000000007E-2</v>
      </c>
      <c r="F13" s="1">
        <f ca="1">$Q$15</f>
        <v>0.05</v>
      </c>
      <c r="G13" s="1">
        <f t="shared" ref="G13:M13" ca="1" si="12">$Q$15</f>
        <v>0.05</v>
      </c>
      <c r="H13" s="1">
        <f t="shared" ca="1" si="12"/>
        <v>0.05</v>
      </c>
      <c r="I13" s="1">
        <f t="shared" ca="1" si="12"/>
        <v>0.05</v>
      </c>
      <c r="J13" s="1">
        <f t="shared" ca="1" si="12"/>
        <v>0.05</v>
      </c>
      <c r="K13" s="1">
        <f t="shared" ca="1" si="12"/>
        <v>0.05</v>
      </c>
      <c r="L13" s="1">
        <f t="shared" ca="1" si="12"/>
        <v>0.05</v>
      </c>
      <c r="M13" s="1">
        <f t="shared" ca="1" si="12"/>
        <v>0.05</v>
      </c>
      <c r="P13" s="1" t="s">
        <v>34</v>
      </c>
      <c r="Q13" s="57">
        <f t="shared" ca="1" si="1"/>
        <v>0.1</v>
      </c>
      <c r="R13" s="13">
        <v>0.1</v>
      </c>
      <c r="S13" s="13">
        <v>0.1</v>
      </c>
      <c r="T13" s="13">
        <v>0.12</v>
      </c>
      <c r="U13" s="13">
        <v>0.05</v>
      </c>
      <c r="V13" s="13">
        <v>0</v>
      </c>
      <c r="W13" s="13">
        <f t="shared" si="5"/>
        <v>0.1</v>
      </c>
      <c r="X13" s="13">
        <f t="shared" si="6"/>
        <v>0.1</v>
      </c>
      <c r="Y13" s="13">
        <f t="shared" si="6"/>
        <v>0.1</v>
      </c>
      <c r="Z13" s="13">
        <f t="shared" si="7"/>
        <v>0.1</v>
      </c>
      <c r="AA13" s="13">
        <f t="shared" si="2"/>
        <v>0.1</v>
      </c>
      <c r="AB13" s="13">
        <f t="shared" si="2"/>
        <v>0.1</v>
      </c>
      <c r="AC13" s="13">
        <f t="shared" si="2"/>
        <v>0.1</v>
      </c>
      <c r="AD13" s="13">
        <f t="shared" si="2"/>
        <v>0.1</v>
      </c>
      <c r="AE13" s="13">
        <f t="shared" si="2"/>
        <v>0.1</v>
      </c>
      <c r="AF13" s="13">
        <f t="shared" si="2"/>
        <v>0.1</v>
      </c>
      <c r="AG13" s="13">
        <f t="shared" si="2"/>
        <v>0.1</v>
      </c>
      <c r="AH13" s="13">
        <f t="shared" si="2"/>
        <v>0.1</v>
      </c>
      <c r="AI13" s="13">
        <f t="shared" si="2"/>
        <v>0.1</v>
      </c>
      <c r="AJ13" s="13">
        <f t="shared" si="2"/>
        <v>0.1</v>
      </c>
      <c r="AK13" s="13">
        <f t="shared" si="2"/>
        <v>0.1</v>
      </c>
      <c r="AL13" s="13">
        <f t="shared" si="2"/>
        <v>0.1</v>
      </c>
      <c r="AM13" s="13">
        <f t="shared" si="3"/>
        <v>0.1</v>
      </c>
      <c r="AN13" s="13">
        <f t="shared" si="3"/>
        <v>0.1</v>
      </c>
      <c r="AO13" s="13">
        <f t="shared" si="3"/>
        <v>0.1</v>
      </c>
      <c r="AP13" s="13">
        <f t="shared" si="3"/>
        <v>0.1</v>
      </c>
      <c r="AQ13" s="13">
        <f t="shared" si="3"/>
        <v>0.1</v>
      </c>
    </row>
    <row r="14" spans="1:43" x14ac:dyDescent="0.3">
      <c r="B14" s="1" t="s">
        <v>6</v>
      </c>
      <c r="C14" s="29">
        <v>-447</v>
      </c>
      <c r="D14" s="16">
        <f ca="1">$Q$16*SUM(D8:D12)</f>
        <v>-517.80800000000011</v>
      </c>
      <c r="E14" s="16">
        <f t="shared" ref="E14:M14" ca="1" si="13">$Q$16*SUM(E8:E12)</f>
        <v>-554.04863999999998</v>
      </c>
      <c r="F14" s="16">
        <f t="shared" ca="1" si="13"/>
        <v>-581.74731200000019</v>
      </c>
      <c r="G14" s="16">
        <f t="shared" ca="1" si="13"/>
        <v>-610.83427760000018</v>
      </c>
      <c r="H14" s="16">
        <f t="shared" ca="1" si="13"/>
        <v>-641.37559148000025</v>
      </c>
      <c r="I14" s="16">
        <f t="shared" ca="1" si="13"/>
        <v>-673.44397105400026</v>
      </c>
      <c r="J14" s="16">
        <f t="shared" ca="1" si="13"/>
        <v>-707.11576960670038</v>
      </c>
      <c r="K14" s="16">
        <f t="shared" ca="1" si="13"/>
        <v>-742.47115808703541</v>
      </c>
      <c r="L14" s="16">
        <f t="shared" ca="1" si="13"/>
        <v>-779.59431599138725</v>
      </c>
      <c r="M14" s="16">
        <f t="shared" ca="1" si="13"/>
        <v>-818.5736317909566</v>
      </c>
      <c r="P14" s="1" t="s">
        <v>35</v>
      </c>
      <c r="Q14" s="57">
        <f t="shared" ca="1" si="1"/>
        <v>7.0000000000000007E-2</v>
      </c>
      <c r="R14" s="13">
        <v>7.0000000000000007E-2</v>
      </c>
      <c r="S14" s="13">
        <v>7.0000000000000007E-2</v>
      </c>
      <c r="T14" s="13">
        <v>0.08</v>
      </c>
      <c r="U14" s="13">
        <v>0.05</v>
      </c>
      <c r="V14" s="13">
        <v>0</v>
      </c>
      <c r="W14" s="13">
        <f t="shared" si="5"/>
        <v>7.0000000000000007E-2</v>
      </c>
      <c r="X14" s="13">
        <f t="shared" si="6"/>
        <v>7.0000000000000007E-2</v>
      </c>
      <c r="Y14" s="13">
        <f t="shared" si="6"/>
        <v>7.0000000000000007E-2</v>
      </c>
      <c r="Z14" s="13">
        <f t="shared" si="7"/>
        <v>7.0000000000000007E-2</v>
      </c>
      <c r="AA14" s="13">
        <f t="shared" si="2"/>
        <v>7.0000000000000007E-2</v>
      </c>
      <c r="AB14" s="13">
        <f t="shared" si="2"/>
        <v>7.0000000000000007E-2</v>
      </c>
      <c r="AC14" s="13">
        <f t="shared" si="2"/>
        <v>7.0000000000000007E-2</v>
      </c>
      <c r="AD14" s="13">
        <f t="shared" si="2"/>
        <v>7.0000000000000007E-2</v>
      </c>
      <c r="AE14" s="13">
        <f t="shared" si="2"/>
        <v>7.0000000000000007E-2</v>
      </c>
      <c r="AF14" s="13">
        <f t="shared" si="2"/>
        <v>7.0000000000000007E-2</v>
      </c>
      <c r="AG14" s="13">
        <f t="shared" si="2"/>
        <v>7.0000000000000007E-2</v>
      </c>
      <c r="AH14" s="13">
        <f t="shared" si="2"/>
        <v>7.0000000000000007E-2</v>
      </c>
      <c r="AI14" s="13">
        <f t="shared" si="2"/>
        <v>7.0000000000000007E-2</v>
      </c>
      <c r="AJ14" s="13">
        <f t="shared" si="2"/>
        <v>7.0000000000000007E-2</v>
      </c>
      <c r="AK14" s="13">
        <f t="shared" si="2"/>
        <v>7.0000000000000007E-2</v>
      </c>
      <c r="AL14" s="13">
        <f t="shared" si="2"/>
        <v>7.0000000000000007E-2</v>
      </c>
      <c r="AM14" s="13">
        <f t="shared" si="3"/>
        <v>7.0000000000000007E-2</v>
      </c>
      <c r="AN14" s="13">
        <f t="shared" si="3"/>
        <v>7.0000000000000007E-2</v>
      </c>
      <c r="AO14" s="13">
        <f t="shared" si="3"/>
        <v>7.0000000000000007E-2</v>
      </c>
      <c r="AP14" s="13">
        <f t="shared" si="3"/>
        <v>7.0000000000000007E-2</v>
      </c>
      <c r="AQ14" s="13">
        <f t="shared" si="3"/>
        <v>7.0000000000000007E-2</v>
      </c>
    </row>
    <row r="15" spans="1:43" x14ac:dyDescent="0.3">
      <c r="B15" s="62" t="s">
        <v>7</v>
      </c>
      <c r="C15" s="62">
        <f>SUM(C8:C14)</f>
        <v>5437</v>
      </c>
      <c r="D15" s="63">
        <f ca="1">SUM(D8:D14)</f>
        <v>5954.8920000000016</v>
      </c>
      <c r="E15" s="63">
        <f t="shared" ref="E15:M15" ca="1" si="14">SUM(E8:E14)</f>
        <v>6371.6293599999999</v>
      </c>
      <c r="F15" s="63">
        <f t="shared" ca="1" si="14"/>
        <v>6690.1440880000018</v>
      </c>
      <c r="G15" s="63">
        <f t="shared" ca="1" si="14"/>
        <v>7024.6441924000019</v>
      </c>
      <c r="H15" s="63">
        <f t="shared" ca="1" si="14"/>
        <v>7375.8693020200035</v>
      </c>
      <c r="I15" s="63">
        <f t="shared" ca="1" si="14"/>
        <v>7744.6556671210028</v>
      </c>
      <c r="J15" s="63">
        <f t="shared" ca="1" si="14"/>
        <v>8131.8813504770533</v>
      </c>
      <c r="K15" s="63">
        <f t="shared" ca="1" si="14"/>
        <v>8538.4683180009069</v>
      </c>
      <c r="L15" s="63">
        <f t="shared" ca="1" si="14"/>
        <v>8965.3846339009524</v>
      </c>
      <c r="M15" s="63">
        <f t="shared" ca="1" si="14"/>
        <v>9413.6467655960005</v>
      </c>
      <c r="N15" s="7">
        <f ca="1">_xlfn.RRI(10,C15,M15)</f>
        <v>5.6427885890404594E-2</v>
      </c>
      <c r="P15" s="1" t="s">
        <v>36</v>
      </c>
      <c r="Q15" s="57">
        <f t="shared" ca="1" si="1"/>
        <v>0.05</v>
      </c>
      <c r="R15" s="13">
        <v>0.05</v>
      </c>
      <c r="S15" s="13">
        <v>0.05</v>
      </c>
      <c r="T15" s="13">
        <v>0.06</v>
      </c>
      <c r="U15" s="13">
        <v>0.04</v>
      </c>
      <c r="V15" s="13">
        <v>0</v>
      </c>
      <c r="W15" s="13">
        <f t="shared" si="5"/>
        <v>0.05</v>
      </c>
      <c r="X15" s="13">
        <f t="shared" si="6"/>
        <v>0.05</v>
      </c>
      <c r="Y15" s="13">
        <f t="shared" si="6"/>
        <v>0.05</v>
      </c>
      <c r="Z15" s="13">
        <f t="shared" si="7"/>
        <v>0.05</v>
      </c>
      <c r="AA15" s="13">
        <f t="shared" si="2"/>
        <v>0.05</v>
      </c>
      <c r="AB15" s="13">
        <f t="shared" si="2"/>
        <v>0.05</v>
      </c>
      <c r="AC15" s="13">
        <f t="shared" si="2"/>
        <v>0.05</v>
      </c>
      <c r="AD15" s="13">
        <f t="shared" si="2"/>
        <v>0.05</v>
      </c>
      <c r="AE15" s="13">
        <f t="shared" si="2"/>
        <v>0.05</v>
      </c>
      <c r="AF15" s="13">
        <f t="shared" si="2"/>
        <v>0.05</v>
      </c>
      <c r="AG15" s="13">
        <f t="shared" si="2"/>
        <v>0.05</v>
      </c>
      <c r="AH15" s="13">
        <f t="shared" si="2"/>
        <v>0.05</v>
      </c>
      <c r="AI15" s="13">
        <f t="shared" si="2"/>
        <v>0.05</v>
      </c>
      <c r="AJ15" s="13">
        <f t="shared" si="2"/>
        <v>0.05</v>
      </c>
      <c r="AK15" s="13">
        <f t="shared" si="2"/>
        <v>0.05</v>
      </c>
      <c r="AL15" s="13">
        <f t="shared" si="2"/>
        <v>0.05</v>
      </c>
      <c r="AM15" s="13">
        <f t="shared" si="3"/>
        <v>0.05</v>
      </c>
      <c r="AN15" s="13">
        <f t="shared" si="3"/>
        <v>0.05</v>
      </c>
      <c r="AO15" s="13">
        <f t="shared" si="3"/>
        <v>0.05</v>
      </c>
      <c r="AP15" s="13">
        <f t="shared" si="3"/>
        <v>0.05</v>
      </c>
      <c r="AQ15" s="13">
        <f t="shared" si="3"/>
        <v>0.05</v>
      </c>
    </row>
    <row r="16" spans="1:43" x14ac:dyDescent="0.3">
      <c r="B16" s="3" t="s">
        <v>8</v>
      </c>
      <c r="D16" s="7">
        <f ca="1">D15/C15-1</f>
        <v>9.5253264668015758E-2</v>
      </c>
      <c r="E16" s="7">
        <f t="shared" ref="E16:M16" ca="1" si="15">E15/D15-1</f>
        <v>6.9982354004068936E-2</v>
      </c>
      <c r="F16" s="7">
        <f t="shared" ca="1" si="15"/>
        <v>4.9989525442202032E-2</v>
      </c>
      <c r="G16" s="7">
        <f t="shared" ca="1" si="15"/>
        <v>4.9998938737356502E-2</v>
      </c>
      <c r="H16" s="7">
        <f t="shared" ca="1" si="15"/>
        <v>4.9998989272651562E-2</v>
      </c>
      <c r="I16" s="7">
        <f t="shared" ca="1" si="15"/>
        <v>4.999903740159839E-2</v>
      </c>
      <c r="J16" s="7">
        <f t="shared" ca="1" si="15"/>
        <v>4.9999083238777109E-2</v>
      </c>
      <c r="K16" s="7">
        <f t="shared" ca="1" si="15"/>
        <v>4.9999126893311319E-2</v>
      </c>
      <c r="L16" s="7">
        <f t="shared" ca="1" si="15"/>
        <v>4.9999168469128774E-2</v>
      </c>
      <c r="M16" s="7">
        <f t="shared" ca="1" si="15"/>
        <v>4.9999208065209855E-2</v>
      </c>
      <c r="P16" s="1" t="s">
        <v>58</v>
      </c>
      <c r="Q16" s="57">
        <f t="shared" ca="1" si="1"/>
        <v>-0.08</v>
      </c>
      <c r="R16" s="33">
        <v>-0.08</v>
      </c>
      <c r="S16" s="33">
        <v>-0.08</v>
      </c>
      <c r="T16" s="33">
        <v>-0.08</v>
      </c>
      <c r="U16" s="33">
        <v>-0.08</v>
      </c>
      <c r="V16" s="13">
        <v>0</v>
      </c>
      <c r="W16" s="33">
        <f t="shared" si="5"/>
        <v>-0.08</v>
      </c>
      <c r="X16" s="33">
        <f t="shared" si="6"/>
        <v>-0.08</v>
      </c>
      <c r="Y16" s="33">
        <f t="shared" si="6"/>
        <v>-0.08</v>
      </c>
      <c r="Z16" s="13">
        <f t="shared" si="7"/>
        <v>-0.08</v>
      </c>
      <c r="AA16" s="13">
        <f t="shared" si="2"/>
        <v>-0.08</v>
      </c>
      <c r="AB16" s="13">
        <f t="shared" si="2"/>
        <v>-0.08</v>
      </c>
      <c r="AC16" s="13">
        <f t="shared" si="2"/>
        <v>-0.08</v>
      </c>
      <c r="AD16" s="13">
        <f t="shared" si="2"/>
        <v>-0.08</v>
      </c>
      <c r="AE16" s="13">
        <f t="shared" si="2"/>
        <v>-0.08</v>
      </c>
      <c r="AF16" s="13">
        <f t="shared" si="2"/>
        <v>-0.08</v>
      </c>
      <c r="AG16" s="13">
        <f t="shared" si="2"/>
        <v>-0.08</v>
      </c>
      <c r="AH16" s="13">
        <f t="shared" si="2"/>
        <v>-0.08</v>
      </c>
      <c r="AI16" s="13">
        <f t="shared" si="2"/>
        <v>-0.08</v>
      </c>
      <c r="AJ16" s="13">
        <f t="shared" si="2"/>
        <v>-0.08</v>
      </c>
      <c r="AK16" s="13">
        <f t="shared" si="2"/>
        <v>-0.08</v>
      </c>
      <c r="AL16" s="13">
        <f t="shared" si="2"/>
        <v>-0.08</v>
      </c>
      <c r="AM16" s="13">
        <f t="shared" si="3"/>
        <v>-0.08</v>
      </c>
      <c r="AN16" s="13">
        <f t="shared" si="3"/>
        <v>-0.08</v>
      </c>
      <c r="AO16" s="13">
        <f t="shared" si="3"/>
        <v>-0.08</v>
      </c>
      <c r="AP16" s="13">
        <f t="shared" si="3"/>
        <v>-0.08</v>
      </c>
      <c r="AQ16" s="13">
        <f t="shared" si="3"/>
        <v>-0.08</v>
      </c>
    </row>
    <row r="17" spans="2:43" x14ac:dyDescent="0.3">
      <c r="P17" s="5" t="s">
        <v>9</v>
      </c>
      <c r="Q17" s="58">
        <f ca="1">OFFSET(Q17,,$Q$5)</f>
        <v>0.37</v>
      </c>
      <c r="R17" s="39">
        <v>0.37</v>
      </c>
      <c r="S17" s="39">
        <v>0.37</v>
      </c>
      <c r="T17" s="39">
        <v>0.37</v>
      </c>
      <c r="U17" s="39">
        <v>0.37</v>
      </c>
      <c r="V17" s="39">
        <v>0.35</v>
      </c>
      <c r="W17" s="39">
        <f>V17</f>
        <v>0.35</v>
      </c>
      <c r="X17" s="39">
        <v>0.37</v>
      </c>
      <c r="Y17" s="39">
        <f t="shared" ref="Y17:Y28" si="16">X17</f>
        <v>0.37</v>
      </c>
      <c r="Z17" s="39">
        <f t="shared" si="7"/>
        <v>0.37</v>
      </c>
      <c r="AA17" s="39">
        <f t="shared" si="2"/>
        <v>0.37</v>
      </c>
      <c r="AB17" s="39">
        <f t="shared" si="2"/>
        <v>0.37</v>
      </c>
      <c r="AC17" s="48">
        <v>0.39</v>
      </c>
      <c r="AD17" s="39">
        <f t="shared" si="2"/>
        <v>0.37</v>
      </c>
      <c r="AE17" s="39">
        <f t="shared" si="2"/>
        <v>0.37</v>
      </c>
      <c r="AF17" s="39">
        <f t="shared" si="2"/>
        <v>0.37</v>
      </c>
      <c r="AG17" s="39">
        <f t="shared" si="2"/>
        <v>0.37</v>
      </c>
      <c r="AH17" s="39">
        <f t="shared" si="2"/>
        <v>0.37</v>
      </c>
      <c r="AI17" s="39">
        <f t="shared" si="2"/>
        <v>0.37</v>
      </c>
      <c r="AJ17" s="39">
        <f t="shared" si="2"/>
        <v>0.37</v>
      </c>
      <c r="AK17" s="39">
        <f t="shared" si="2"/>
        <v>0.37</v>
      </c>
      <c r="AL17" s="39">
        <f t="shared" si="2"/>
        <v>0.37</v>
      </c>
      <c r="AM17" s="39">
        <f t="shared" si="3"/>
        <v>0.37</v>
      </c>
      <c r="AN17" s="39">
        <f t="shared" si="3"/>
        <v>0.37</v>
      </c>
      <c r="AO17" s="39">
        <f t="shared" si="3"/>
        <v>0.37</v>
      </c>
      <c r="AP17" s="39">
        <f t="shared" si="3"/>
        <v>0.37</v>
      </c>
      <c r="AQ17" s="39">
        <f t="shared" si="3"/>
        <v>0.37</v>
      </c>
    </row>
    <row r="18" spans="2:43" x14ac:dyDescent="0.3">
      <c r="P18" s="1" t="s">
        <v>60</v>
      </c>
      <c r="Q18" s="59">
        <f ca="1">OFFSET(Q18,,$Q$5)</f>
        <v>300</v>
      </c>
      <c r="R18" s="14"/>
      <c r="S18" s="14">
        <v>300</v>
      </c>
      <c r="T18" s="14">
        <v>300</v>
      </c>
      <c r="U18" s="14">
        <v>200</v>
      </c>
      <c r="V18" s="14">
        <v>0</v>
      </c>
      <c r="W18" s="14">
        <f t="shared" ref="W18:W28" si="17">V18</f>
        <v>0</v>
      </c>
      <c r="X18" s="14">
        <f>S18</f>
        <v>300</v>
      </c>
      <c r="Y18" s="14">
        <f t="shared" si="16"/>
        <v>300</v>
      </c>
      <c r="Z18" s="14">
        <f>$S18</f>
        <v>300</v>
      </c>
      <c r="AA18" s="14">
        <f t="shared" ref="AA18:AQ20" si="18">$S18</f>
        <v>300</v>
      </c>
      <c r="AB18" s="14">
        <f t="shared" si="18"/>
        <v>300</v>
      </c>
      <c r="AC18" s="14">
        <f t="shared" si="18"/>
        <v>300</v>
      </c>
      <c r="AD18" s="29">
        <v>100</v>
      </c>
      <c r="AE18" s="14">
        <f t="shared" si="18"/>
        <v>300</v>
      </c>
      <c r="AF18" s="14">
        <f t="shared" si="18"/>
        <v>300</v>
      </c>
      <c r="AG18" s="14">
        <f t="shared" si="18"/>
        <v>300</v>
      </c>
      <c r="AH18" s="14">
        <f t="shared" si="18"/>
        <v>300</v>
      </c>
      <c r="AI18" s="14">
        <f t="shared" si="18"/>
        <v>300</v>
      </c>
      <c r="AJ18" s="14">
        <f t="shared" si="18"/>
        <v>300</v>
      </c>
      <c r="AK18" s="14">
        <f t="shared" si="18"/>
        <v>300</v>
      </c>
      <c r="AL18" s="14">
        <f t="shared" si="18"/>
        <v>300</v>
      </c>
      <c r="AM18" s="14">
        <f t="shared" si="18"/>
        <v>300</v>
      </c>
      <c r="AN18" s="14">
        <f t="shared" si="18"/>
        <v>300</v>
      </c>
      <c r="AO18" s="14">
        <f t="shared" si="18"/>
        <v>300</v>
      </c>
      <c r="AP18" s="14">
        <f t="shared" si="18"/>
        <v>300</v>
      </c>
      <c r="AQ18" s="14">
        <f t="shared" si="18"/>
        <v>300</v>
      </c>
    </row>
    <row r="19" spans="2:43" x14ac:dyDescent="0.3">
      <c r="P19" s="1" t="s">
        <v>66</v>
      </c>
      <c r="Q19" s="59">
        <f t="shared" ref="Q19:Q20" ca="1" si="19">OFFSET(Q19,,$Q$5)</f>
        <v>120</v>
      </c>
      <c r="R19" s="14"/>
      <c r="S19" s="14">
        <v>120</v>
      </c>
      <c r="T19" s="14">
        <v>120</v>
      </c>
      <c r="U19" s="14">
        <v>50</v>
      </c>
      <c r="V19" s="14">
        <v>0</v>
      </c>
      <c r="W19" s="14">
        <f t="shared" si="17"/>
        <v>0</v>
      </c>
      <c r="X19" s="14">
        <f t="shared" ref="X19:X20" si="20">S19</f>
        <v>120</v>
      </c>
      <c r="Y19" s="14">
        <f t="shared" si="16"/>
        <v>120</v>
      </c>
      <c r="Z19" s="14">
        <f t="shared" ref="Z19:AO20" si="21">$S19</f>
        <v>120</v>
      </c>
      <c r="AA19" s="14">
        <f t="shared" si="21"/>
        <v>120</v>
      </c>
      <c r="AB19" s="14">
        <f t="shared" si="21"/>
        <v>120</v>
      </c>
      <c r="AC19" s="14">
        <f t="shared" si="21"/>
        <v>120</v>
      </c>
      <c r="AD19" s="29">
        <f>AC19</f>
        <v>120</v>
      </c>
      <c r="AE19" s="14">
        <v>100</v>
      </c>
      <c r="AF19" s="14">
        <f t="shared" si="21"/>
        <v>120</v>
      </c>
      <c r="AG19" s="14">
        <f t="shared" si="21"/>
        <v>120</v>
      </c>
      <c r="AH19" s="14">
        <f t="shared" si="21"/>
        <v>120</v>
      </c>
      <c r="AI19" s="14">
        <f t="shared" si="21"/>
        <v>120</v>
      </c>
      <c r="AJ19" s="14">
        <f t="shared" si="21"/>
        <v>120</v>
      </c>
      <c r="AK19" s="14">
        <f t="shared" si="21"/>
        <v>120</v>
      </c>
      <c r="AL19" s="14">
        <f t="shared" si="21"/>
        <v>120</v>
      </c>
      <c r="AM19" s="14">
        <f t="shared" si="21"/>
        <v>120</v>
      </c>
      <c r="AN19" s="14">
        <f t="shared" si="21"/>
        <v>120</v>
      </c>
      <c r="AO19" s="14">
        <f t="shared" si="21"/>
        <v>120</v>
      </c>
      <c r="AP19" s="14">
        <f t="shared" si="18"/>
        <v>120</v>
      </c>
      <c r="AQ19" s="14">
        <f t="shared" si="18"/>
        <v>120</v>
      </c>
    </row>
    <row r="20" spans="2:43" x14ac:dyDescent="0.3">
      <c r="B20" s="64" t="s">
        <v>10</v>
      </c>
      <c r="C20" s="64">
        <f>1898</f>
        <v>1898</v>
      </c>
      <c r="D20" s="65">
        <f ca="1">D21*D15</f>
        <v>2091.2426307059045</v>
      </c>
      <c r="E20" s="65">
        <f t="shared" ref="E20:M20" ca="1" si="22">E21*E15</f>
        <v>2250.9160628412137</v>
      </c>
      <c r="F20" s="65">
        <f t="shared" ca="1" si="22"/>
        <v>2377.4276666237661</v>
      </c>
      <c r="G20" s="65">
        <f t="shared" ca="1" si="22"/>
        <v>2510.9853589238151</v>
      </c>
      <c r="H20" s="65">
        <f t="shared" ca="1" si="22"/>
        <v>2651.95534774826</v>
      </c>
      <c r="I20" s="65">
        <f t="shared" ca="1" si="22"/>
        <v>2800.744969261109</v>
      </c>
      <c r="J20" s="65">
        <f t="shared" ca="1" si="22"/>
        <v>2957.7837625014631</v>
      </c>
      <c r="K20" s="65">
        <f t="shared" ca="1" si="22"/>
        <v>3123.524671330611</v>
      </c>
      <c r="L20" s="65">
        <f t="shared" ca="1" si="22"/>
        <v>3298.44531106665</v>
      </c>
      <c r="M20" s="65">
        <f t="shared" ca="1" si="22"/>
        <v>3483.0493032705203</v>
      </c>
      <c r="N20" s="7">
        <f ca="1">_xlfn.RRI(10,C20,M20)</f>
        <v>6.2591509451077609E-2</v>
      </c>
      <c r="P20" s="1" t="s">
        <v>67</v>
      </c>
      <c r="Q20" s="59">
        <f t="shared" ca="1" si="19"/>
        <v>300</v>
      </c>
      <c r="S20" s="14">
        <v>300</v>
      </c>
      <c r="T20" s="14">
        <v>300</v>
      </c>
      <c r="U20" s="14">
        <v>100</v>
      </c>
      <c r="V20" s="14">
        <v>0</v>
      </c>
      <c r="W20" s="1">
        <f t="shared" si="17"/>
        <v>0</v>
      </c>
      <c r="X20" s="1">
        <f t="shared" si="20"/>
        <v>300</v>
      </c>
      <c r="Y20" s="1">
        <f t="shared" si="16"/>
        <v>300</v>
      </c>
      <c r="Z20" s="14">
        <f t="shared" si="21"/>
        <v>300</v>
      </c>
      <c r="AA20" s="14">
        <f t="shared" si="21"/>
        <v>300</v>
      </c>
      <c r="AB20" s="14">
        <f t="shared" si="21"/>
        <v>300</v>
      </c>
      <c r="AC20" s="14">
        <f t="shared" si="21"/>
        <v>300</v>
      </c>
      <c r="AD20" s="29">
        <f>AC20</f>
        <v>300</v>
      </c>
      <c r="AE20" s="14">
        <f t="shared" si="21"/>
        <v>300</v>
      </c>
      <c r="AF20" s="14">
        <v>200</v>
      </c>
      <c r="AG20" s="14">
        <f t="shared" si="18"/>
        <v>300</v>
      </c>
      <c r="AH20" s="14">
        <f t="shared" si="18"/>
        <v>300</v>
      </c>
      <c r="AI20" s="14">
        <f t="shared" si="18"/>
        <v>300</v>
      </c>
      <c r="AJ20" s="14">
        <f t="shared" si="18"/>
        <v>300</v>
      </c>
      <c r="AK20" s="14">
        <f t="shared" si="18"/>
        <v>300</v>
      </c>
      <c r="AL20" s="14">
        <f t="shared" si="18"/>
        <v>300</v>
      </c>
      <c r="AM20" s="14">
        <f t="shared" si="18"/>
        <v>300</v>
      </c>
      <c r="AN20" s="14">
        <f t="shared" si="18"/>
        <v>300</v>
      </c>
      <c r="AO20" s="14">
        <f t="shared" si="18"/>
        <v>300</v>
      </c>
      <c r="AP20" s="14">
        <f t="shared" si="18"/>
        <v>300</v>
      </c>
      <c r="AQ20" s="14">
        <f t="shared" si="18"/>
        <v>300</v>
      </c>
    </row>
    <row r="21" spans="2:43" ht="14.5" x14ac:dyDescent="0.35">
      <c r="B21" s="31" t="s">
        <v>57</v>
      </c>
      <c r="C21" s="32">
        <f>C20/C15</f>
        <v>0.34908957145484643</v>
      </c>
      <c r="D21" s="32">
        <f ca="1">C21+($M21-$C21)/10</f>
        <v>0.35118061430936176</v>
      </c>
      <c r="E21" s="32">
        <f t="shared" ref="E21:L21" ca="1" si="23">D21+($M21-$C21)/10</f>
        <v>0.3532716571638771</v>
      </c>
      <c r="F21" s="32">
        <f t="shared" ca="1" si="23"/>
        <v>0.35536270001839243</v>
      </c>
      <c r="G21" s="32">
        <f t="shared" ca="1" si="23"/>
        <v>0.35745374287290776</v>
      </c>
      <c r="H21" s="32">
        <f t="shared" ca="1" si="23"/>
        <v>0.3595447857274231</v>
      </c>
      <c r="I21" s="32">
        <f t="shared" ca="1" si="23"/>
        <v>0.36163582858193843</v>
      </c>
      <c r="J21" s="32">
        <f t="shared" ca="1" si="23"/>
        <v>0.36372687143645377</v>
      </c>
      <c r="K21" s="32">
        <f t="shared" ca="1" si="23"/>
        <v>0.3658179142909691</v>
      </c>
      <c r="L21" s="32">
        <f t="shared" ca="1" si="23"/>
        <v>0.36790895714548444</v>
      </c>
      <c r="M21" s="35">
        <f ca="1">Q17</f>
        <v>0.37</v>
      </c>
      <c r="P21" s="5" t="s">
        <v>13</v>
      </c>
      <c r="Q21" s="60">
        <f t="shared" ref="Q21:Q31" ca="1" si="24">OFFSET(Q21,,$Q$5)</f>
        <v>0.02</v>
      </c>
      <c r="R21" s="39">
        <v>0.02</v>
      </c>
      <c r="S21" s="39">
        <f t="shared" ref="S21:S27" si="25">R21</f>
        <v>0.02</v>
      </c>
      <c r="T21" s="39">
        <v>0.02</v>
      </c>
      <c r="U21" s="39">
        <v>0.02</v>
      </c>
      <c r="V21" s="39">
        <f>R21</f>
        <v>0.02</v>
      </c>
      <c r="W21" s="39">
        <f t="shared" si="17"/>
        <v>0.02</v>
      </c>
      <c r="X21" s="39">
        <f t="shared" si="6"/>
        <v>0.02</v>
      </c>
      <c r="Y21" s="39">
        <f t="shared" si="16"/>
        <v>0.02</v>
      </c>
      <c r="Z21" s="39">
        <f t="shared" si="7"/>
        <v>0.02</v>
      </c>
      <c r="AA21" s="39">
        <f t="shared" si="2"/>
        <v>0.02</v>
      </c>
      <c r="AB21" s="39">
        <f t="shared" si="2"/>
        <v>0.02</v>
      </c>
      <c r="AC21" s="39">
        <f t="shared" ref="AA21:AQ28" si="26">$R21</f>
        <v>0.02</v>
      </c>
      <c r="AD21" s="39">
        <f t="shared" si="26"/>
        <v>0.02</v>
      </c>
      <c r="AE21" s="39">
        <f t="shared" si="26"/>
        <v>0.02</v>
      </c>
      <c r="AF21" s="39">
        <f t="shared" si="26"/>
        <v>0.02</v>
      </c>
      <c r="AG21" s="48">
        <v>0.03</v>
      </c>
      <c r="AH21" s="39">
        <f t="shared" si="26"/>
        <v>0.02</v>
      </c>
      <c r="AI21" s="39">
        <f t="shared" si="26"/>
        <v>0.02</v>
      </c>
      <c r="AJ21" s="39">
        <f t="shared" si="26"/>
        <v>0.02</v>
      </c>
      <c r="AK21" s="39">
        <f t="shared" si="26"/>
        <v>0.02</v>
      </c>
      <c r="AL21" s="39">
        <f t="shared" si="26"/>
        <v>0.02</v>
      </c>
      <c r="AM21" s="39">
        <f t="shared" si="26"/>
        <v>0.02</v>
      </c>
      <c r="AN21" s="39">
        <f t="shared" si="26"/>
        <v>0.02</v>
      </c>
      <c r="AO21" s="39">
        <f t="shared" si="26"/>
        <v>0.02</v>
      </c>
      <c r="AP21" s="39">
        <f t="shared" si="26"/>
        <v>0.02</v>
      </c>
      <c r="AQ21" s="39">
        <f t="shared" si="26"/>
        <v>0.02</v>
      </c>
    </row>
    <row r="22" spans="2:43" x14ac:dyDescent="0.3">
      <c r="P22" s="1" t="s">
        <v>14</v>
      </c>
      <c r="Q22" s="59">
        <f t="shared" ca="1" si="24"/>
        <v>0.02</v>
      </c>
      <c r="R22" s="13">
        <v>0.02</v>
      </c>
      <c r="S22" s="13">
        <f t="shared" si="25"/>
        <v>0.02</v>
      </c>
      <c r="T22" s="13">
        <v>0.02</v>
      </c>
      <c r="U22" s="13">
        <v>0.02</v>
      </c>
      <c r="V22" s="13">
        <f t="shared" ref="V22:V28" si="27">R22</f>
        <v>0.02</v>
      </c>
      <c r="W22" s="13">
        <f t="shared" si="17"/>
        <v>0.02</v>
      </c>
      <c r="X22" s="13">
        <f t="shared" si="6"/>
        <v>0.02</v>
      </c>
      <c r="Y22" s="13">
        <f t="shared" si="16"/>
        <v>0.02</v>
      </c>
      <c r="Z22" s="13">
        <f t="shared" si="7"/>
        <v>0.02</v>
      </c>
      <c r="AA22" s="13">
        <f t="shared" si="26"/>
        <v>0.02</v>
      </c>
      <c r="AB22" s="13">
        <f t="shared" si="26"/>
        <v>0.02</v>
      </c>
      <c r="AC22" s="13">
        <f t="shared" si="26"/>
        <v>0.02</v>
      </c>
      <c r="AD22" s="13">
        <f t="shared" si="26"/>
        <v>0.02</v>
      </c>
      <c r="AE22" s="13">
        <f t="shared" si="26"/>
        <v>0.02</v>
      </c>
      <c r="AF22" s="13">
        <f t="shared" si="26"/>
        <v>0.02</v>
      </c>
      <c r="AG22" s="13">
        <f t="shared" si="26"/>
        <v>0.02</v>
      </c>
      <c r="AH22" s="46">
        <v>0.03</v>
      </c>
      <c r="AI22" s="13">
        <f t="shared" si="26"/>
        <v>0.02</v>
      </c>
      <c r="AJ22" s="13">
        <f t="shared" si="26"/>
        <v>0.02</v>
      </c>
      <c r="AK22" s="13">
        <f t="shared" si="26"/>
        <v>0.02</v>
      </c>
      <c r="AL22" s="13">
        <f t="shared" si="26"/>
        <v>0.02</v>
      </c>
      <c r="AM22" s="13">
        <f t="shared" si="26"/>
        <v>0.02</v>
      </c>
      <c r="AN22" s="13">
        <f t="shared" si="26"/>
        <v>0.02</v>
      </c>
      <c r="AO22" s="13">
        <f t="shared" si="26"/>
        <v>0.02</v>
      </c>
      <c r="AP22" s="13">
        <f t="shared" si="26"/>
        <v>0.02</v>
      </c>
      <c r="AQ22" s="13">
        <f t="shared" si="26"/>
        <v>0.02</v>
      </c>
    </row>
    <row r="23" spans="2:43" x14ac:dyDescent="0.3">
      <c r="B23" s="20" t="s">
        <v>61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P23" s="1" t="s">
        <v>15</v>
      </c>
      <c r="Q23" s="59">
        <f t="shared" ca="1" si="24"/>
        <v>0.02</v>
      </c>
      <c r="R23" s="13">
        <v>0.02</v>
      </c>
      <c r="S23" s="13">
        <f t="shared" si="25"/>
        <v>0.02</v>
      </c>
      <c r="T23" s="13">
        <v>0.02</v>
      </c>
      <c r="U23" s="13">
        <v>0.02</v>
      </c>
      <c r="V23" s="13">
        <f t="shared" si="27"/>
        <v>0.02</v>
      </c>
      <c r="W23" s="13">
        <f t="shared" si="17"/>
        <v>0.02</v>
      </c>
      <c r="X23" s="13">
        <f t="shared" si="6"/>
        <v>0.02</v>
      </c>
      <c r="Y23" s="13">
        <f t="shared" si="16"/>
        <v>0.02</v>
      </c>
      <c r="Z23" s="13">
        <f t="shared" si="7"/>
        <v>0.02</v>
      </c>
      <c r="AA23" s="13">
        <f t="shared" si="26"/>
        <v>0.02</v>
      </c>
      <c r="AB23" s="13">
        <f t="shared" si="26"/>
        <v>0.02</v>
      </c>
      <c r="AC23" s="13">
        <f t="shared" si="26"/>
        <v>0.02</v>
      </c>
      <c r="AD23" s="13">
        <f t="shared" si="26"/>
        <v>0.02</v>
      </c>
      <c r="AE23" s="13">
        <f t="shared" si="26"/>
        <v>0.02</v>
      </c>
      <c r="AF23" s="13">
        <f t="shared" si="26"/>
        <v>0.02</v>
      </c>
      <c r="AG23" s="13">
        <f t="shared" si="26"/>
        <v>0.02</v>
      </c>
      <c r="AH23" s="13">
        <f t="shared" si="26"/>
        <v>0.02</v>
      </c>
      <c r="AI23" s="46">
        <v>0.03</v>
      </c>
      <c r="AJ23" s="13">
        <f t="shared" si="26"/>
        <v>0.02</v>
      </c>
      <c r="AK23" s="13">
        <f t="shared" si="26"/>
        <v>0.02</v>
      </c>
      <c r="AL23" s="13">
        <f t="shared" si="26"/>
        <v>0.02</v>
      </c>
      <c r="AM23" s="13">
        <f t="shared" si="26"/>
        <v>0.02</v>
      </c>
      <c r="AN23" s="13">
        <f t="shared" si="26"/>
        <v>0.02</v>
      </c>
      <c r="AO23" s="13">
        <f t="shared" si="26"/>
        <v>0.02</v>
      </c>
      <c r="AP23" s="13">
        <f t="shared" si="26"/>
        <v>0.02</v>
      </c>
      <c r="AQ23" s="13">
        <f t="shared" si="26"/>
        <v>0.02</v>
      </c>
    </row>
    <row r="24" spans="2:43" x14ac:dyDescent="0.3">
      <c r="B24" s="3" t="s">
        <v>11</v>
      </c>
      <c r="D24" s="16">
        <f ca="1">$Q$18</f>
        <v>300</v>
      </c>
      <c r="E24" s="16">
        <f t="shared" ref="E24:M24" ca="1" si="28">$Q$18</f>
        <v>300</v>
      </c>
      <c r="F24" s="16">
        <f t="shared" ca="1" si="28"/>
        <v>300</v>
      </c>
      <c r="G24" s="16">
        <f t="shared" ca="1" si="28"/>
        <v>300</v>
      </c>
      <c r="H24" s="16">
        <f t="shared" ca="1" si="28"/>
        <v>300</v>
      </c>
      <c r="I24" s="16">
        <f t="shared" ca="1" si="28"/>
        <v>300</v>
      </c>
      <c r="J24" s="16">
        <f t="shared" ca="1" si="28"/>
        <v>300</v>
      </c>
      <c r="K24" s="16">
        <f t="shared" ca="1" si="28"/>
        <v>300</v>
      </c>
      <c r="L24" s="16">
        <f t="shared" ca="1" si="28"/>
        <v>300</v>
      </c>
      <c r="M24" s="16">
        <f t="shared" ca="1" si="28"/>
        <v>300</v>
      </c>
      <c r="P24" s="5" t="s">
        <v>39</v>
      </c>
      <c r="Q24" s="60">
        <f t="shared" ca="1" si="24"/>
        <v>0.02</v>
      </c>
      <c r="R24" s="39">
        <v>0.02</v>
      </c>
      <c r="S24" s="39">
        <f t="shared" si="25"/>
        <v>0.02</v>
      </c>
      <c r="T24" s="39">
        <v>0.02</v>
      </c>
      <c r="U24" s="39">
        <v>0.02</v>
      </c>
      <c r="V24" s="39">
        <f t="shared" si="27"/>
        <v>0.02</v>
      </c>
      <c r="W24" s="39">
        <f t="shared" si="17"/>
        <v>0.02</v>
      </c>
      <c r="X24" s="39">
        <f t="shared" si="6"/>
        <v>0.02</v>
      </c>
      <c r="Y24" s="39">
        <f t="shared" si="16"/>
        <v>0.02</v>
      </c>
      <c r="Z24" s="39">
        <f t="shared" si="7"/>
        <v>0.02</v>
      </c>
      <c r="AA24" s="39">
        <f t="shared" si="26"/>
        <v>0.02</v>
      </c>
      <c r="AB24" s="39">
        <f t="shared" si="26"/>
        <v>0.02</v>
      </c>
      <c r="AC24" s="39">
        <f t="shared" si="26"/>
        <v>0.02</v>
      </c>
      <c r="AD24" s="39">
        <f t="shared" si="26"/>
        <v>0.02</v>
      </c>
      <c r="AE24" s="39">
        <f t="shared" si="26"/>
        <v>0.02</v>
      </c>
      <c r="AF24" s="39">
        <f t="shared" si="26"/>
        <v>0.02</v>
      </c>
      <c r="AG24" s="39">
        <f t="shared" si="26"/>
        <v>0.02</v>
      </c>
      <c r="AH24" s="39">
        <f t="shared" si="26"/>
        <v>0.02</v>
      </c>
      <c r="AI24" s="39">
        <f t="shared" si="26"/>
        <v>0.02</v>
      </c>
      <c r="AJ24" s="48">
        <v>0.03</v>
      </c>
      <c r="AK24" s="39">
        <f t="shared" si="26"/>
        <v>0.02</v>
      </c>
      <c r="AL24" s="39">
        <f t="shared" si="26"/>
        <v>0.02</v>
      </c>
      <c r="AM24" s="39">
        <f t="shared" si="26"/>
        <v>0.02</v>
      </c>
      <c r="AN24" s="39">
        <f t="shared" si="26"/>
        <v>0.02</v>
      </c>
      <c r="AO24" s="39">
        <f t="shared" si="26"/>
        <v>0.02</v>
      </c>
      <c r="AP24" s="39">
        <f t="shared" si="26"/>
        <v>0.02</v>
      </c>
      <c r="AQ24" s="39">
        <f t="shared" si="26"/>
        <v>0.02</v>
      </c>
    </row>
    <row r="25" spans="2:43" x14ac:dyDescent="0.3">
      <c r="B25" s="64" t="s">
        <v>62</v>
      </c>
      <c r="C25" s="64">
        <f t="shared" ref="C25:M25" si="29">C20+C24</f>
        <v>1898</v>
      </c>
      <c r="D25" s="65">
        <f t="shared" ca="1" si="29"/>
        <v>2391.2426307059045</v>
      </c>
      <c r="E25" s="65">
        <f t="shared" ca="1" si="29"/>
        <v>2550.9160628412137</v>
      </c>
      <c r="F25" s="65">
        <f t="shared" ca="1" si="29"/>
        <v>2677.4276666237661</v>
      </c>
      <c r="G25" s="65">
        <f t="shared" ca="1" si="29"/>
        <v>2810.9853589238151</v>
      </c>
      <c r="H25" s="65">
        <f t="shared" ca="1" si="29"/>
        <v>2951.95534774826</v>
      </c>
      <c r="I25" s="65">
        <f t="shared" ca="1" si="29"/>
        <v>3100.744969261109</v>
      </c>
      <c r="J25" s="65">
        <f t="shared" ca="1" si="29"/>
        <v>3257.7837625014631</v>
      </c>
      <c r="K25" s="65">
        <f t="shared" ca="1" si="29"/>
        <v>3423.524671330611</v>
      </c>
      <c r="L25" s="65">
        <f t="shared" ca="1" si="29"/>
        <v>3598.44531106665</v>
      </c>
      <c r="M25" s="65">
        <f t="shared" ca="1" si="29"/>
        <v>3783.0493032705203</v>
      </c>
      <c r="N25" s="7">
        <f ca="1">_xlfn.RRI(10,C25,M25)</f>
        <v>7.1407246286343762E-2</v>
      </c>
      <c r="P25" s="1" t="s">
        <v>21</v>
      </c>
      <c r="Q25" s="59">
        <f t="shared" ca="1" si="24"/>
        <v>0.02</v>
      </c>
      <c r="R25" s="13">
        <v>0.02</v>
      </c>
      <c r="S25" s="13">
        <f t="shared" si="25"/>
        <v>0.02</v>
      </c>
      <c r="T25" s="13">
        <v>0.02</v>
      </c>
      <c r="U25" s="13">
        <v>0.02</v>
      </c>
      <c r="V25" s="13">
        <f t="shared" si="27"/>
        <v>0.02</v>
      </c>
      <c r="W25" s="13">
        <f t="shared" si="17"/>
        <v>0.02</v>
      </c>
      <c r="X25" s="13">
        <f t="shared" si="6"/>
        <v>0.02</v>
      </c>
      <c r="Y25" s="13">
        <f t="shared" si="16"/>
        <v>0.02</v>
      </c>
      <c r="Z25" s="13">
        <f t="shared" si="7"/>
        <v>0.02</v>
      </c>
      <c r="AA25" s="13">
        <f t="shared" si="26"/>
        <v>0.02</v>
      </c>
      <c r="AB25" s="13">
        <f t="shared" si="26"/>
        <v>0.02</v>
      </c>
      <c r="AC25" s="13">
        <f t="shared" si="26"/>
        <v>0.02</v>
      </c>
      <c r="AD25" s="13">
        <f t="shared" si="26"/>
        <v>0.02</v>
      </c>
      <c r="AE25" s="13">
        <f t="shared" si="26"/>
        <v>0.02</v>
      </c>
      <c r="AF25" s="13">
        <f t="shared" si="26"/>
        <v>0.02</v>
      </c>
      <c r="AG25" s="13">
        <f t="shared" si="26"/>
        <v>0.02</v>
      </c>
      <c r="AH25" s="13">
        <f t="shared" si="26"/>
        <v>0.02</v>
      </c>
      <c r="AI25" s="13">
        <f t="shared" si="26"/>
        <v>0.02</v>
      </c>
      <c r="AJ25" s="13">
        <f t="shared" si="26"/>
        <v>0.02</v>
      </c>
      <c r="AK25" s="46">
        <v>0.03</v>
      </c>
      <c r="AL25" s="13">
        <f t="shared" si="26"/>
        <v>0.02</v>
      </c>
      <c r="AM25" s="13">
        <f t="shared" si="26"/>
        <v>0.02</v>
      </c>
      <c r="AN25" s="13">
        <f t="shared" si="26"/>
        <v>0.02</v>
      </c>
      <c r="AO25" s="13">
        <f t="shared" si="26"/>
        <v>0.02</v>
      </c>
      <c r="AP25" s="13">
        <f t="shared" si="26"/>
        <v>0.02</v>
      </c>
      <c r="AQ25" s="13">
        <f t="shared" si="26"/>
        <v>0.02</v>
      </c>
    </row>
    <row r="26" spans="2:43" ht="14.5" x14ac:dyDescent="0.35">
      <c r="B26" s="31" t="s">
        <v>57</v>
      </c>
      <c r="C26" s="7">
        <f t="shared" ref="C26:M26" si="30">C25/C15</f>
        <v>0.34908957145484643</v>
      </c>
      <c r="D26" s="7">
        <f t="shared" ca="1" si="30"/>
        <v>0.40155936173248885</v>
      </c>
      <c r="E26" s="7">
        <f t="shared" ca="1" si="30"/>
        <v>0.40035537516595499</v>
      </c>
      <c r="F26" s="7">
        <f t="shared" ca="1" si="30"/>
        <v>0.40020478354512912</v>
      </c>
      <c r="G26" s="7">
        <f t="shared" ca="1" si="30"/>
        <v>0.40016053225372389</v>
      </c>
      <c r="H26" s="7">
        <f t="shared" ca="1" si="30"/>
        <v>0.40021795762295004</v>
      </c>
      <c r="I26" s="7">
        <f t="shared" ca="1" si="30"/>
        <v>0.40037221828014202</v>
      </c>
      <c r="J26" s="7">
        <f t="shared" ca="1" si="30"/>
        <v>0.40061870335950567</v>
      </c>
      <c r="K26" s="7">
        <f t="shared" ca="1" si="30"/>
        <v>0.40095302152882539</v>
      </c>
      <c r="L26" s="7">
        <f t="shared" ca="1" si="30"/>
        <v>0.40137099053840825</v>
      </c>
      <c r="M26" s="7">
        <f t="shared" ca="1" si="30"/>
        <v>0.40186862726742717</v>
      </c>
      <c r="P26" s="1" t="s">
        <v>22</v>
      </c>
      <c r="Q26" s="59">
        <f t="shared" ca="1" si="24"/>
        <v>0.04</v>
      </c>
      <c r="R26" s="13">
        <v>0.04</v>
      </c>
      <c r="S26" s="13">
        <f t="shared" si="25"/>
        <v>0.04</v>
      </c>
      <c r="T26" s="13">
        <v>0.04</v>
      </c>
      <c r="U26" s="13">
        <v>0.04</v>
      </c>
      <c r="V26" s="13">
        <f t="shared" si="27"/>
        <v>0.04</v>
      </c>
      <c r="W26" s="13">
        <f t="shared" si="17"/>
        <v>0.04</v>
      </c>
      <c r="X26" s="13">
        <f t="shared" si="6"/>
        <v>0.04</v>
      </c>
      <c r="Y26" s="13">
        <f t="shared" si="16"/>
        <v>0.04</v>
      </c>
      <c r="Z26" s="13">
        <f t="shared" si="7"/>
        <v>0.04</v>
      </c>
      <c r="AA26" s="13">
        <f t="shared" si="26"/>
        <v>0.04</v>
      </c>
      <c r="AB26" s="13">
        <f t="shared" si="26"/>
        <v>0.04</v>
      </c>
      <c r="AC26" s="13">
        <f t="shared" si="26"/>
        <v>0.04</v>
      </c>
      <c r="AD26" s="13">
        <f t="shared" si="26"/>
        <v>0.04</v>
      </c>
      <c r="AE26" s="13">
        <f t="shared" si="26"/>
        <v>0.04</v>
      </c>
      <c r="AF26" s="13">
        <f t="shared" si="26"/>
        <v>0.04</v>
      </c>
      <c r="AG26" s="13">
        <f t="shared" si="26"/>
        <v>0.04</v>
      </c>
      <c r="AH26" s="13">
        <f t="shared" si="26"/>
        <v>0.04</v>
      </c>
      <c r="AI26" s="13">
        <f t="shared" si="26"/>
        <v>0.04</v>
      </c>
      <c r="AJ26" s="13">
        <f t="shared" si="26"/>
        <v>0.04</v>
      </c>
      <c r="AK26" s="13">
        <f t="shared" si="26"/>
        <v>0.04</v>
      </c>
      <c r="AL26" s="46">
        <v>0.05</v>
      </c>
      <c r="AM26" s="47">
        <f t="shared" si="26"/>
        <v>0.04</v>
      </c>
      <c r="AN26" s="47">
        <f t="shared" si="26"/>
        <v>0.04</v>
      </c>
      <c r="AO26" s="47">
        <f t="shared" si="26"/>
        <v>0.04</v>
      </c>
      <c r="AP26" s="47">
        <f t="shared" si="26"/>
        <v>0.04</v>
      </c>
      <c r="AQ26" s="47">
        <f t="shared" si="26"/>
        <v>0.04</v>
      </c>
    </row>
    <row r="27" spans="2:43" ht="14.5" x14ac:dyDescent="0.35">
      <c r="B27" s="31" t="s">
        <v>8</v>
      </c>
      <c r="D27" s="7">
        <f ca="1">D25/C25-1</f>
        <v>0.25987493714747334</v>
      </c>
      <c r="E27" s="7">
        <f t="shared" ref="E27:M27" ca="1" si="31">E25/D25-1</f>
        <v>6.6774249540780817E-2</v>
      </c>
      <c r="F27" s="7">
        <f t="shared" ca="1" si="31"/>
        <v>4.9594577267918272E-2</v>
      </c>
      <c r="G27" s="7">
        <f t="shared" ca="1" si="31"/>
        <v>4.9882838653290351E-2</v>
      </c>
      <c r="H27" s="7">
        <f t="shared" ca="1" si="31"/>
        <v>5.0149670248875067E-2</v>
      </c>
      <c r="I27" s="7">
        <f t="shared" ca="1" si="31"/>
        <v>5.0403750729612229E-2</v>
      </c>
      <c r="J27" s="7">
        <f t="shared" ca="1" si="31"/>
        <v>5.0645504482677906E-2</v>
      </c>
      <c r="K27" s="7">
        <f t="shared" ca="1" si="31"/>
        <v>5.0875356043240005E-2</v>
      </c>
      <c r="L27" s="7">
        <f ca="1">L25/K25-1</f>
        <v>5.109372840244597E-2</v>
      </c>
      <c r="M27" s="7">
        <f t="shared" ca="1" si="31"/>
        <v>5.1301041490373622E-2</v>
      </c>
      <c r="P27" s="1" t="s">
        <v>37</v>
      </c>
      <c r="Q27" s="59">
        <f t="shared" ca="1" si="24"/>
        <v>0.15</v>
      </c>
      <c r="R27" s="13">
        <v>0.15</v>
      </c>
      <c r="S27" s="13">
        <f t="shared" si="25"/>
        <v>0.15</v>
      </c>
      <c r="T27" s="13">
        <v>0.15</v>
      </c>
      <c r="U27" s="13">
        <v>0.15</v>
      </c>
      <c r="V27" s="13">
        <f t="shared" si="27"/>
        <v>0.15</v>
      </c>
      <c r="W27" s="13">
        <f t="shared" si="17"/>
        <v>0.15</v>
      </c>
      <c r="X27" s="13">
        <f t="shared" si="6"/>
        <v>0.15</v>
      </c>
      <c r="Y27" s="13">
        <f t="shared" si="16"/>
        <v>0.15</v>
      </c>
      <c r="Z27" s="13">
        <f t="shared" si="7"/>
        <v>0.15</v>
      </c>
      <c r="AA27" s="13">
        <f t="shared" si="26"/>
        <v>0.15</v>
      </c>
      <c r="AB27" s="13">
        <f t="shared" si="26"/>
        <v>0.15</v>
      </c>
      <c r="AC27" s="13">
        <f t="shared" si="26"/>
        <v>0.15</v>
      </c>
      <c r="AD27" s="13">
        <f t="shared" si="26"/>
        <v>0.15</v>
      </c>
      <c r="AE27" s="13">
        <f t="shared" si="26"/>
        <v>0.15</v>
      </c>
      <c r="AF27" s="13">
        <f t="shared" si="26"/>
        <v>0.15</v>
      </c>
      <c r="AG27" s="13">
        <f t="shared" si="26"/>
        <v>0.15</v>
      </c>
      <c r="AH27" s="13">
        <f t="shared" si="26"/>
        <v>0.15</v>
      </c>
      <c r="AI27" s="13">
        <f t="shared" si="26"/>
        <v>0.15</v>
      </c>
      <c r="AJ27" s="13">
        <f t="shared" si="26"/>
        <v>0.15</v>
      </c>
      <c r="AK27" s="13">
        <f t="shared" si="26"/>
        <v>0.15</v>
      </c>
      <c r="AL27" s="13">
        <f t="shared" si="26"/>
        <v>0.15</v>
      </c>
      <c r="AM27" s="46">
        <v>0.16</v>
      </c>
      <c r="AN27" s="13">
        <f t="shared" si="26"/>
        <v>0.15</v>
      </c>
      <c r="AO27" s="13">
        <f t="shared" si="26"/>
        <v>0.15</v>
      </c>
      <c r="AP27" s="13">
        <f t="shared" si="26"/>
        <v>0.15</v>
      </c>
      <c r="AQ27" s="13">
        <f t="shared" si="26"/>
        <v>0.15</v>
      </c>
    </row>
    <row r="28" spans="2:43" ht="14.5" x14ac:dyDescent="0.35">
      <c r="B28" s="31"/>
      <c r="P28" s="1" t="s">
        <v>38</v>
      </c>
      <c r="Q28" s="59">
        <f t="shared" ca="1" si="24"/>
        <v>10</v>
      </c>
      <c r="R28" s="1">
        <v>10</v>
      </c>
      <c r="S28" s="1">
        <v>10</v>
      </c>
      <c r="T28" s="1">
        <v>10</v>
      </c>
      <c r="U28" s="1">
        <v>10</v>
      </c>
      <c r="V28" s="1">
        <f t="shared" si="27"/>
        <v>10</v>
      </c>
      <c r="W28" s="1">
        <f t="shared" si="17"/>
        <v>10</v>
      </c>
      <c r="X28" s="1">
        <f t="shared" si="6"/>
        <v>10</v>
      </c>
      <c r="Y28" s="1">
        <f t="shared" si="16"/>
        <v>10</v>
      </c>
      <c r="Z28" s="1">
        <f t="shared" si="7"/>
        <v>10</v>
      </c>
      <c r="AA28" s="1">
        <f t="shared" si="26"/>
        <v>10</v>
      </c>
      <c r="AB28" s="1">
        <f t="shared" si="26"/>
        <v>10</v>
      </c>
      <c r="AC28" s="1">
        <f t="shared" si="26"/>
        <v>10</v>
      </c>
      <c r="AD28" s="1">
        <f t="shared" si="26"/>
        <v>10</v>
      </c>
      <c r="AE28" s="1">
        <f t="shared" si="26"/>
        <v>10</v>
      </c>
      <c r="AF28" s="1">
        <f t="shared" si="26"/>
        <v>10</v>
      </c>
      <c r="AG28" s="1">
        <f t="shared" si="26"/>
        <v>10</v>
      </c>
      <c r="AH28" s="1">
        <f t="shared" si="26"/>
        <v>10</v>
      </c>
      <c r="AI28" s="1">
        <f t="shared" si="26"/>
        <v>10</v>
      </c>
      <c r="AJ28" s="1">
        <f t="shared" si="26"/>
        <v>10</v>
      </c>
      <c r="AK28" s="1">
        <f t="shared" si="26"/>
        <v>10</v>
      </c>
      <c r="AL28" s="1">
        <f t="shared" si="26"/>
        <v>10</v>
      </c>
      <c r="AM28" s="1">
        <f t="shared" si="26"/>
        <v>10</v>
      </c>
      <c r="AN28" s="4">
        <v>11</v>
      </c>
      <c r="AO28" s="49">
        <v>10</v>
      </c>
      <c r="AP28" s="1">
        <f t="shared" si="26"/>
        <v>10</v>
      </c>
      <c r="AQ28" s="1">
        <f t="shared" si="26"/>
        <v>10</v>
      </c>
    </row>
    <row r="29" spans="2:43" x14ac:dyDescent="0.3">
      <c r="B29" s="22" t="s">
        <v>12</v>
      </c>
      <c r="P29" s="1" t="s">
        <v>81</v>
      </c>
      <c r="Q29" s="61">
        <f t="shared" ca="1" si="24"/>
        <v>4200</v>
      </c>
      <c r="R29" s="16">
        <v>4200</v>
      </c>
      <c r="S29" s="16">
        <v>4200</v>
      </c>
      <c r="T29" s="16">
        <v>4200</v>
      </c>
      <c r="U29" s="16">
        <v>4200</v>
      </c>
      <c r="V29" s="16">
        <v>4200</v>
      </c>
      <c r="W29" s="16">
        <v>4200</v>
      </c>
      <c r="X29" s="16">
        <v>4200</v>
      </c>
      <c r="Y29" s="16">
        <v>4200</v>
      </c>
      <c r="Z29" s="16">
        <v>4200</v>
      </c>
      <c r="AA29" s="16">
        <v>4200</v>
      </c>
      <c r="AB29" s="16">
        <v>4200</v>
      </c>
      <c r="AC29" s="16">
        <v>4200</v>
      </c>
      <c r="AD29" s="16">
        <v>4200</v>
      </c>
      <c r="AE29" s="16">
        <v>4200</v>
      </c>
      <c r="AF29" s="16">
        <v>4200</v>
      </c>
      <c r="AG29" s="16">
        <v>4200</v>
      </c>
      <c r="AH29" s="16">
        <v>4200</v>
      </c>
      <c r="AI29" s="16">
        <v>4200</v>
      </c>
      <c r="AJ29" s="16">
        <v>4200</v>
      </c>
      <c r="AK29" s="16">
        <v>4200</v>
      </c>
      <c r="AL29" s="16">
        <v>4200</v>
      </c>
      <c r="AM29" s="16">
        <v>4200</v>
      </c>
      <c r="AN29" s="16">
        <v>4200</v>
      </c>
      <c r="AO29" s="50">
        <v>4750</v>
      </c>
      <c r="AP29" s="16">
        <v>4200</v>
      </c>
      <c r="AQ29" s="16">
        <v>4200</v>
      </c>
    </row>
    <row r="30" spans="2:43" x14ac:dyDescent="0.3">
      <c r="B30" s="5" t="s">
        <v>13</v>
      </c>
      <c r="C30" s="36">
        <f>-920</f>
        <v>-920</v>
      </c>
      <c r="D30" s="28">
        <f t="shared" ref="D30:M30" ca="1" si="32">C30*(1+$Q$21)</f>
        <v>-938.4</v>
      </c>
      <c r="E30" s="28">
        <f t="shared" ca="1" si="32"/>
        <v>-957.16800000000001</v>
      </c>
      <c r="F30" s="28">
        <f t="shared" ca="1" si="32"/>
        <v>-976.31136000000004</v>
      </c>
      <c r="G30" s="28">
        <f t="shared" ca="1" si="32"/>
        <v>-995.83758720000003</v>
      </c>
      <c r="H30" s="28">
        <f t="shared" ca="1" si="32"/>
        <v>-1015.7543389440001</v>
      </c>
      <c r="I30" s="28">
        <f t="shared" ca="1" si="32"/>
        <v>-1036.0694257228802</v>
      </c>
      <c r="J30" s="28">
        <f t="shared" ca="1" si="32"/>
        <v>-1056.7908142373378</v>
      </c>
      <c r="K30" s="28">
        <f t="shared" ca="1" si="32"/>
        <v>-1077.9266305220847</v>
      </c>
      <c r="L30" s="28">
        <f t="shared" ca="1" si="32"/>
        <v>-1099.4851631325264</v>
      </c>
      <c r="M30" s="28">
        <f t="shared" ca="1" si="32"/>
        <v>-1121.4748663951768</v>
      </c>
      <c r="P30" s="1" t="s">
        <v>52</v>
      </c>
      <c r="Q30" s="59">
        <f t="shared" ca="1" si="24"/>
        <v>0.6</v>
      </c>
      <c r="R30" s="13">
        <v>0.6</v>
      </c>
      <c r="S30" s="13">
        <v>0.6</v>
      </c>
      <c r="T30" s="13">
        <v>0.6</v>
      </c>
      <c r="U30" s="13">
        <v>0.6</v>
      </c>
      <c r="V30" s="13">
        <f>R30</f>
        <v>0.6</v>
      </c>
      <c r="W30" s="13">
        <f t="shared" ref="W30:Y31" si="33">V30</f>
        <v>0.6</v>
      </c>
      <c r="X30" s="13">
        <f t="shared" si="33"/>
        <v>0.6</v>
      </c>
      <c r="Y30" s="13">
        <f t="shared" si="33"/>
        <v>0.6</v>
      </c>
      <c r="Z30" s="13">
        <f t="shared" ref="Z30:AO31" si="34">$R30</f>
        <v>0.6</v>
      </c>
      <c r="AA30" s="13">
        <f t="shared" si="34"/>
        <v>0.6</v>
      </c>
      <c r="AB30" s="13">
        <f t="shared" si="34"/>
        <v>0.6</v>
      </c>
      <c r="AC30" s="13">
        <f t="shared" si="34"/>
        <v>0.6</v>
      </c>
      <c r="AD30" s="13">
        <f t="shared" si="34"/>
        <v>0.6</v>
      </c>
      <c r="AE30" s="13">
        <f t="shared" si="34"/>
        <v>0.6</v>
      </c>
      <c r="AF30" s="13">
        <f t="shared" si="34"/>
        <v>0.6</v>
      </c>
      <c r="AG30" s="13">
        <f t="shared" si="34"/>
        <v>0.6</v>
      </c>
      <c r="AH30" s="13">
        <f t="shared" si="34"/>
        <v>0.6</v>
      </c>
      <c r="AI30" s="13">
        <f t="shared" si="34"/>
        <v>0.6</v>
      </c>
      <c r="AJ30" s="13">
        <f t="shared" si="34"/>
        <v>0.6</v>
      </c>
      <c r="AK30" s="13">
        <f t="shared" si="34"/>
        <v>0.6</v>
      </c>
      <c r="AL30" s="13">
        <f t="shared" si="34"/>
        <v>0.6</v>
      </c>
      <c r="AM30" s="13">
        <f t="shared" si="34"/>
        <v>0.6</v>
      </c>
      <c r="AN30" s="13">
        <f t="shared" si="34"/>
        <v>0.6</v>
      </c>
      <c r="AO30" s="13">
        <f t="shared" si="34"/>
        <v>0.6</v>
      </c>
      <c r="AP30" s="46">
        <v>0.7</v>
      </c>
      <c r="AQ30" s="13">
        <f>$R30</f>
        <v>0.6</v>
      </c>
    </row>
    <row r="31" spans="2:43" x14ac:dyDescent="0.3">
      <c r="B31" s="1" t="s">
        <v>14</v>
      </c>
      <c r="C31" s="29">
        <f>-190</f>
        <v>-190</v>
      </c>
      <c r="D31" s="14">
        <f t="shared" ref="D31:M31" ca="1" si="35">C31*(1+$Q$22)</f>
        <v>-193.8</v>
      </c>
      <c r="E31" s="14">
        <f t="shared" ca="1" si="35"/>
        <v>-197.67600000000002</v>
      </c>
      <c r="F31" s="14">
        <f t="shared" ca="1" si="35"/>
        <v>-201.62952000000001</v>
      </c>
      <c r="G31" s="14">
        <f t="shared" ca="1" si="35"/>
        <v>-205.66211040000002</v>
      </c>
      <c r="H31" s="14">
        <f t="shared" ca="1" si="35"/>
        <v>-209.77535260800002</v>
      </c>
      <c r="I31" s="14">
        <f t="shared" ca="1" si="35"/>
        <v>-213.97085966016002</v>
      </c>
      <c r="J31" s="14">
        <f t="shared" ca="1" si="35"/>
        <v>-218.25027685336323</v>
      </c>
      <c r="K31" s="14">
        <f t="shared" ca="1" si="35"/>
        <v>-222.61528239043051</v>
      </c>
      <c r="L31" s="14">
        <f t="shared" ca="1" si="35"/>
        <v>-227.06758803823911</v>
      </c>
      <c r="M31" s="14">
        <f t="shared" ca="1" si="35"/>
        <v>-231.60893979900391</v>
      </c>
      <c r="P31" s="1" t="s">
        <v>55</v>
      </c>
      <c r="Q31" s="59">
        <f t="shared" ca="1" si="24"/>
        <v>2</v>
      </c>
      <c r="R31" s="1">
        <v>2</v>
      </c>
      <c r="S31" s="1">
        <v>2</v>
      </c>
      <c r="T31" s="1">
        <v>2</v>
      </c>
      <c r="U31" s="1">
        <v>2</v>
      </c>
      <c r="V31" s="1">
        <f>R31</f>
        <v>2</v>
      </c>
      <c r="W31" s="1">
        <f t="shared" si="33"/>
        <v>2</v>
      </c>
      <c r="X31" s="1">
        <f t="shared" si="33"/>
        <v>2</v>
      </c>
      <c r="Y31" s="1">
        <f t="shared" si="33"/>
        <v>2</v>
      </c>
      <c r="Z31" s="12">
        <f t="shared" si="34"/>
        <v>2</v>
      </c>
      <c r="AA31" s="12">
        <f t="shared" si="34"/>
        <v>2</v>
      </c>
      <c r="AB31" s="12">
        <f t="shared" si="34"/>
        <v>2</v>
      </c>
      <c r="AC31" s="12">
        <f t="shared" si="34"/>
        <v>2</v>
      </c>
      <c r="AD31" s="12">
        <f t="shared" si="34"/>
        <v>2</v>
      </c>
      <c r="AE31" s="12">
        <f t="shared" si="34"/>
        <v>2</v>
      </c>
      <c r="AF31" s="12">
        <f t="shared" si="34"/>
        <v>2</v>
      </c>
      <c r="AG31" s="12">
        <f t="shared" si="34"/>
        <v>2</v>
      </c>
      <c r="AH31" s="12">
        <f t="shared" si="34"/>
        <v>2</v>
      </c>
      <c r="AI31" s="12">
        <f t="shared" si="34"/>
        <v>2</v>
      </c>
      <c r="AJ31" s="12">
        <f t="shared" si="34"/>
        <v>2</v>
      </c>
      <c r="AK31" s="12">
        <f t="shared" si="34"/>
        <v>2</v>
      </c>
      <c r="AL31" s="12">
        <f t="shared" si="34"/>
        <v>2</v>
      </c>
      <c r="AM31" s="12">
        <f t="shared" si="34"/>
        <v>2</v>
      </c>
      <c r="AN31" s="12">
        <f t="shared" si="34"/>
        <v>2</v>
      </c>
      <c r="AO31" s="12">
        <f t="shared" si="34"/>
        <v>2</v>
      </c>
      <c r="AP31" s="12">
        <f>$R31</f>
        <v>2</v>
      </c>
      <c r="AQ31" s="26">
        <v>3</v>
      </c>
    </row>
    <row r="32" spans="2:43" x14ac:dyDescent="0.3">
      <c r="B32" s="1" t="s">
        <v>15</v>
      </c>
      <c r="C32" s="29">
        <f>-1100</f>
        <v>-1100</v>
      </c>
      <c r="D32" s="14">
        <f t="shared" ref="D32:M32" ca="1" si="36">C32*(1+$Q$23)</f>
        <v>-1122</v>
      </c>
      <c r="E32" s="14">
        <f t="shared" ca="1" si="36"/>
        <v>-1144.44</v>
      </c>
      <c r="F32" s="14">
        <f t="shared" ca="1" si="36"/>
        <v>-1167.3288</v>
      </c>
      <c r="G32" s="14">
        <f t="shared" ca="1" si="36"/>
        <v>-1190.6753759999999</v>
      </c>
      <c r="H32" s="14">
        <f t="shared" ca="1" si="36"/>
        <v>-1214.4888835199999</v>
      </c>
      <c r="I32" s="14">
        <f t="shared" ca="1" si="36"/>
        <v>-1238.7786611904</v>
      </c>
      <c r="J32" s="14">
        <f t="shared" ca="1" si="36"/>
        <v>-1263.5542344142082</v>
      </c>
      <c r="K32" s="14">
        <f t="shared" ca="1" si="36"/>
        <v>-1288.8253191024924</v>
      </c>
      <c r="L32" s="14">
        <f t="shared" ca="1" si="36"/>
        <v>-1314.6018254845421</v>
      </c>
      <c r="M32" s="14">
        <f t="shared" ca="1" si="36"/>
        <v>-1340.893861994233</v>
      </c>
      <c r="P32" s="5" t="s">
        <v>56</v>
      </c>
      <c r="Q32" s="39">
        <f ca="1">C67</f>
        <v>0.16307125360413499</v>
      </c>
      <c r="R32" s="39">
        <f>R34</f>
        <v>0.12041826989837512</v>
      </c>
      <c r="S32" s="39">
        <f t="shared" ref="S32:AQ32" si="37">S34</f>
        <v>0.16307125360413499</v>
      </c>
      <c r="T32" s="39">
        <f t="shared" si="37"/>
        <v>0.20564425722878732</v>
      </c>
      <c r="U32" s="39">
        <f t="shared" si="37"/>
        <v>8.0020913937246974E-2</v>
      </c>
      <c r="V32" s="39" t="e">
        <f t="shared" si="37"/>
        <v>#NUM!</v>
      </c>
      <c r="W32" s="39">
        <f t="shared" si="37"/>
        <v>7.9343268847215098E-2</v>
      </c>
      <c r="X32" s="39">
        <f t="shared" si="37"/>
        <v>0.16307125360413499</v>
      </c>
      <c r="Y32" s="39">
        <f t="shared" si="37"/>
        <v>0.16307125360413499</v>
      </c>
      <c r="Z32" s="39">
        <f t="shared" si="37"/>
        <v>0.1674684652549232</v>
      </c>
      <c r="AA32" s="39">
        <f t="shared" si="37"/>
        <v>0.16715543572481173</v>
      </c>
      <c r="AB32" s="39">
        <f t="shared" si="37"/>
        <v>0.1913176836498256</v>
      </c>
      <c r="AC32" s="39">
        <f t="shared" si="37"/>
        <v>0.18625160781478001</v>
      </c>
      <c r="AD32" s="39">
        <f t="shared" si="37"/>
        <v>0.15114350155295453</v>
      </c>
      <c r="AE32" s="39">
        <f t="shared" si="37"/>
        <v>0.16411998402726202</v>
      </c>
      <c r="AF32" s="39">
        <f t="shared" si="37"/>
        <v>0.2059958735427907</v>
      </c>
      <c r="AG32" s="39">
        <f t="shared" si="37"/>
        <v>0.14674190804856702</v>
      </c>
      <c r="AH32" s="39">
        <f t="shared" si="37"/>
        <v>0.15982969215735787</v>
      </c>
      <c r="AI32" s="39">
        <f t="shared" si="37"/>
        <v>0.14334596316966741</v>
      </c>
      <c r="AJ32" s="39">
        <f t="shared" si="37"/>
        <v>0.15222486107239663</v>
      </c>
      <c r="AK32" s="39">
        <f t="shared" si="37"/>
        <v>0.16307125360413499</v>
      </c>
      <c r="AL32" s="39">
        <f t="shared" si="37"/>
        <v>0.16228297919871282</v>
      </c>
      <c r="AM32" s="39">
        <f t="shared" si="37"/>
        <v>0.16307125360413499</v>
      </c>
      <c r="AN32" s="39">
        <f t="shared" si="37"/>
        <v>0.17260980563330408</v>
      </c>
      <c r="AO32" s="39">
        <f t="shared" si="37"/>
        <v>0.15030113233810094</v>
      </c>
      <c r="AP32" s="39">
        <f t="shared" si="37"/>
        <v>0.15030113233810094</v>
      </c>
      <c r="AQ32" s="39">
        <f t="shared" si="37"/>
        <v>0.16307125360413499</v>
      </c>
    </row>
    <row r="33" spans="2:43" x14ac:dyDescent="0.3">
      <c r="B33" s="52" t="s">
        <v>16</v>
      </c>
      <c r="C33" s="53">
        <f t="shared" ref="C33:M33" si="38">SUM(C30:C32)</f>
        <v>-2210</v>
      </c>
      <c r="D33" s="53">
        <f t="shared" ca="1" si="38"/>
        <v>-2254.1999999999998</v>
      </c>
      <c r="E33" s="53">
        <f t="shared" ca="1" si="38"/>
        <v>-2299.2840000000001</v>
      </c>
      <c r="F33" s="53">
        <f t="shared" ca="1" si="38"/>
        <v>-2345.2696800000003</v>
      </c>
      <c r="G33" s="53">
        <f t="shared" ca="1" si="38"/>
        <v>-2392.1750735999999</v>
      </c>
      <c r="H33" s="53">
        <f t="shared" ca="1" si="38"/>
        <v>-2440.0185750720002</v>
      </c>
      <c r="I33" s="53">
        <f t="shared" ca="1" si="38"/>
        <v>-2488.8189465734404</v>
      </c>
      <c r="J33" s="53">
        <f t="shared" ca="1" si="38"/>
        <v>-2538.5953255049089</v>
      </c>
      <c r="K33" s="53">
        <f t="shared" ca="1" si="38"/>
        <v>-2589.3672320150076</v>
      </c>
      <c r="L33" s="53">
        <f t="shared" ca="1" si="38"/>
        <v>-2641.1545766553077</v>
      </c>
      <c r="M33" s="53">
        <f t="shared" ca="1" si="38"/>
        <v>-2693.9776681884141</v>
      </c>
      <c r="Q33" s="1">
        <v>1</v>
      </c>
      <c r="R33" s="1">
        <v>1</v>
      </c>
      <c r="S33" s="1">
        <f t="shared" ref="S33:AO33" si="39">R33+1</f>
        <v>2</v>
      </c>
      <c r="T33" s="1">
        <f t="shared" si="39"/>
        <v>3</v>
      </c>
      <c r="U33" s="1">
        <f t="shared" si="39"/>
        <v>4</v>
      </c>
      <c r="V33" s="1">
        <f t="shared" si="39"/>
        <v>5</v>
      </c>
      <c r="W33" s="1">
        <f t="shared" si="39"/>
        <v>6</v>
      </c>
      <c r="X33" s="1">
        <f t="shared" si="39"/>
        <v>7</v>
      </c>
      <c r="Y33" s="1">
        <f t="shared" si="39"/>
        <v>8</v>
      </c>
      <c r="Z33" s="1">
        <f t="shared" si="39"/>
        <v>9</v>
      </c>
      <c r="AA33" s="1">
        <f t="shared" si="39"/>
        <v>10</v>
      </c>
      <c r="AB33" s="1">
        <f t="shared" si="39"/>
        <v>11</v>
      </c>
      <c r="AC33" s="1">
        <f t="shared" si="39"/>
        <v>12</v>
      </c>
      <c r="AD33" s="1">
        <f t="shared" si="39"/>
        <v>13</v>
      </c>
      <c r="AE33" s="1">
        <f t="shared" si="39"/>
        <v>14</v>
      </c>
      <c r="AF33" s="1">
        <f t="shared" si="39"/>
        <v>15</v>
      </c>
      <c r="AG33" s="1">
        <f t="shared" si="39"/>
        <v>16</v>
      </c>
      <c r="AH33" s="1">
        <f t="shared" si="39"/>
        <v>17</v>
      </c>
      <c r="AI33" s="1">
        <f t="shared" si="39"/>
        <v>18</v>
      </c>
      <c r="AJ33" s="1">
        <f t="shared" si="39"/>
        <v>19</v>
      </c>
      <c r="AK33" s="1">
        <f t="shared" si="39"/>
        <v>20</v>
      </c>
      <c r="AL33" s="1">
        <f t="shared" si="39"/>
        <v>21</v>
      </c>
      <c r="AM33" s="1">
        <f t="shared" si="39"/>
        <v>22</v>
      </c>
      <c r="AN33" s="1">
        <f t="shared" si="39"/>
        <v>23</v>
      </c>
      <c r="AO33" s="1">
        <f t="shared" si="39"/>
        <v>24</v>
      </c>
      <c r="AP33" s="1">
        <f>AN33+1</f>
        <v>24</v>
      </c>
      <c r="AQ33" s="1">
        <f>AP33+1</f>
        <v>25</v>
      </c>
    </row>
    <row r="34" spans="2:43" ht="14.5" thickBot="1" x14ac:dyDescent="0.35">
      <c r="B34" s="66" t="s">
        <v>17</v>
      </c>
      <c r="C34" s="67">
        <f t="shared" ref="C34:M34" si="40">C33+C20+C24</f>
        <v>-312</v>
      </c>
      <c r="D34" s="67">
        <f t="shared" ca="1" si="40"/>
        <v>137.04263070590468</v>
      </c>
      <c r="E34" s="67">
        <f t="shared" ca="1" si="40"/>
        <v>251.63206284121361</v>
      </c>
      <c r="F34" s="67">
        <f t="shared" ca="1" si="40"/>
        <v>332.15798662376574</v>
      </c>
      <c r="G34" s="67">
        <f t="shared" ca="1" si="40"/>
        <v>418.81028532381515</v>
      </c>
      <c r="H34" s="67">
        <f t="shared" ca="1" si="40"/>
        <v>511.93677267625981</v>
      </c>
      <c r="I34" s="67">
        <f t="shared" ca="1" si="40"/>
        <v>611.92602268766859</v>
      </c>
      <c r="J34" s="67">
        <f t="shared" ca="1" si="40"/>
        <v>719.18843699655417</v>
      </c>
      <c r="K34" s="67">
        <f t="shared" ca="1" si="40"/>
        <v>834.15743931560337</v>
      </c>
      <c r="L34" s="67">
        <f t="shared" ca="1" si="40"/>
        <v>957.29073441134233</v>
      </c>
      <c r="M34" s="67">
        <f t="shared" ca="1" si="40"/>
        <v>1089.0716350821062</v>
      </c>
      <c r="N34" s="7"/>
      <c r="P34" s="1" t="str">
        <f>P32</f>
        <v>IRR</v>
      </c>
      <c r="Q34" s="13">
        <f ca="1">Q32</f>
        <v>0.16307125360413499</v>
      </c>
      <c r="R34" s="33">
        <f t="dataTable" ref="R34:AQ34" dt2D="0" dtr="1" r1="Q5" ca="1"/>
        <v>0.12041826989837512</v>
      </c>
      <c r="S34" s="33">
        <v>0.16307125360413499</v>
      </c>
      <c r="T34" s="33">
        <v>0.20564425722878732</v>
      </c>
      <c r="U34" s="33">
        <v>8.0020913937246974E-2</v>
      </c>
      <c r="V34" s="33" t="e">
        <v>#NUM!</v>
      </c>
      <c r="W34" s="33">
        <v>7.9343268847215098E-2</v>
      </c>
      <c r="X34" s="33">
        <v>0.16307125360413499</v>
      </c>
      <c r="Y34" s="33">
        <v>0.16307125360413499</v>
      </c>
      <c r="Z34" s="33">
        <v>0.1674684652549232</v>
      </c>
      <c r="AA34" s="33">
        <v>0.16715543572481173</v>
      </c>
      <c r="AB34" s="33">
        <v>0.1913176836498256</v>
      </c>
      <c r="AC34" s="7">
        <v>0.18625160781478001</v>
      </c>
      <c r="AD34" s="7">
        <v>0.15114350155295453</v>
      </c>
      <c r="AE34" s="7">
        <v>0.16411998402726202</v>
      </c>
      <c r="AF34" s="7">
        <v>0.2059958735427907</v>
      </c>
      <c r="AG34" s="7">
        <v>0.14674190804856702</v>
      </c>
      <c r="AH34" s="7">
        <v>0.15982969215735787</v>
      </c>
      <c r="AI34" s="7">
        <v>0.14334596316966741</v>
      </c>
      <c r="AJ34" s="7">
        <v>0.15222486107239663</v>
      </c>
      <c r="AK34" s="7">
        <v>0.16307125360413499</v>
      </c>
      <c r="AL34" s="7">
        <v>0.16228297919871282</v>
      </c>
      <c r="AM34" s="7">
        <v>0.16307125360413499</v>
      </c>
      <c r="AN34" s="7">
        <v>0.17260980563330408</v>
      </c>
      <c r="AO34" s="7">
        <v>0.15030113233810094</v>
      </c>
      <c r="AP34" s="7">
        <v>0.15030113233810094</v>
      </c>
      <c r="AQ34" s="7">
        <v>0.16307125360413499</v>
      </c>
    </row>
    <row r="35" spans="2:43" x14ac:dyDescent="0.3">
      <c r="B35" s="3" t="s">
        <v>18</v>
      </c>
      <c r="C35" s="7">
        <f t="shared" ref="C35:M35" si="41">C34/C15</f>
        <v>-5.7384587088467907E-2</v>
      </c>
      <c r="D35" s="7">
        <f t="shared" ca="1" si="41"/>
        <v>2.3013453595112161E-2</v>
      </c>
      <c r="E35" s="7">
        <f t="shared" ca="1" si="41"/>
        <v>3.9492576956989475E-2</v>
      </c>
      <c r="F35" s="7">
        <f t="shared" ca="1" si="41"/>
        <v>4.9648853934185347E-2</v>
      </c>
      <c r="G35" s="7">
        <f t="shared" ca="1" si="41"/>
        <v>5.9620142152812257E-2</v>
      </c>
      <c r="H35" s="7">
        <f t="shared" ca="1" si="41"/>
        <v>6.9406974515676068E-2</v>
      </c>
      <c r="I35" s="7">
        <f t="shared" ca="1" si="41"/>
        <v>7.9012682937670983E-2</v>
      </c>
      <c r="J35" s="7">
        <f t="shared" ca="1" si="41"/>
        <v>8.8440596462264334E-2</v>
      </c>
      <c r="K35" s="7">
        <f t="shared" ca="1" si="41"/>
        <v>9.7694036945364326E-2</v>
      </c>
      <c r="L35" s="7">
        <f t="shared" ca="1" si="41"/>
        <v>0.10677631507202977</v>
      </c>
      <c r="M35" s="7">
        <f t="shared" ca="1" si="41"/>
        <v>0.11569072668653023</v>
      </c>
    </row>
    <row r="36" spans="2:43" x14ac:dyDescent="0.3">
      <c r="B36" s="3"/>
      <c r="D36" s="7"/>
      <c r="E36" s="7">
        <f t="shared" ref="E36:M36" ca="1" si="42">E34/D34-1</f>
        <v>0.83615902252503727</v>
      </c>
      <c r="F36" s="7">
        <f t="shared" ca="1" si="42"/>
        <v>0.32001455964443637</v>
      </c>
      <c r="G36" s="7">
        <f t="shared" ca="1" si="42"/>
        <v>0.26087675801756416</v>
      </c>
      <c r="H36" s="7">
        <f t="shared" ca="1" si="42"/>
        <v>0.22235959959875684</v>
      </c>
      <c r="I36" s="7">
        <f t="shared" ca="1" si="42"/>
        <v>0.19531562362417021</v>
      </c>
      <c r="J36" s="7">
        <f t="shared" ca="1" si="42"/>
        <v>0.17528657114102342</v>
      </c>
      <c r="K36" s="7">
        <f t="shared" ca="1" si="42"/>
        <v>0.15985935869488954</v>
      </c>
      <c r="L36" s="7">
        <f t="shared" ca="1" si="42"/>
        <v>0.14761397464340242</v>
      </c>
      <c r="M36" s="7">
        <f t="shared" ca="1" si="42"/>
        <v>0.1376602696899587</v>
      </c>
      <c r="Z36" s="1">
        <f>ABS(Z34-$S$34)</f>
        <v>4.3972116507882131E-3</v>
      </c>
      <c r="AA36" s="1">
        <f t="shared" ref="AA36:AQ36" si="43">ABS(AA34-$S$34)</f>
        <v>4.0841821206767381E-3</v>
      </c>
      <c r="AB36" s="1">
        <f t="shared" si="43"/>
        <v>2.8246430045690607E-2</v>
      </c>
      <c r="AC36" s="1">
        <f t="shared" si="43"/>
        <v>2.3180354210645016E-2</v>
      </c>
      <c r="AD36" s="1">
        <f t="shared" si="43"/>
        <v>1.1927752051180462E-2</v>
      </c>
      <c r="AE36" s="1">
        <f t="shared" si="43"/>
        <v>1.0487304231270311E-3</v>
      </c>
      <c r="AF36" s="1">
        <f t="shared" si="43"/>
        <v>4.2924619938655706E-2</v>
      </c>
      <c r="AG36" s="1">
        <f t="shared" si="43"/>
        <v>1.6329345555567976E-2</v>
      </c>
      <c r="AH36" s="1">
        <f t="shared" si="43"/>
        <v>3.2415614467771192E-3</v>
      </c>
      <c r="AI36" s="1">
        <f t="shared" si="43"/>
        <v>1.9725290434467579E-2</v>
      </c>
      <c r="AJ36" s="1">
        <f t="shared" si="43"/>
        <v>1.0846392531738358E-2</v>
      </c>
      <c r="AK36" s="1">
        <f t="shared" si="43"/>
        <v>0</v>
      </c>
      <c r="AL36" s="1">
        <f t="shared" si="43"/>
        <v>7.8827440542217353E-4</v>
      </c>
      <c r="AM36" s="1">
        <f t="shared" si="43"/>
        <v>0</v>
      </c>
      <c r="AN36" s="1">
        <f t="shared" si="43"/>
        <v>9.5385520291690895E-3</v>
      </c>
      <c r="AO36" s="1">
        <f t="shared" si="43"/>
        <v>1.2770121266034051E-2</v>
      </c>
      <c r="AP36" s="1">
        <f t="shared" si="43"/>
        <v>1.2770121266034051E-2</v>
      </c>
      <c r="AQ36" s="1">
        <f t="shared" si="43"/>
        <v>0</v>
      </c>
    </row>
    <row r="37" spans="2:43" x14ac:dyDescent="0.3">
      <c r="B37" s="3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43" x14ac:dyDescent="0.3">
      <c r="B38" s="37" t="s">
        <v>61</v>
      </c>
      <c r="C38" s="20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2:43" x14ac:dyDescent="0.3">
      <c r="B39" s="3" t="s">
        <v>63</v>
      </c>
      <c r="C39" s="1">
        <v>0</v>
      </c>
      <c r="D39" s="14">
        <f ca="1">$Q$19</f>
        <v>120</v>
      </c>
      <c r="E39" s="14">
        <f t="shared" ref="E39:M39" ca="1" si="44">$Q$19</f>
        <v>120</v>
      </c>
      <c r="F39" s="14">
        <f t="shared" ca="1" si="44"/>
        <v>120</v>
      </c>
      <c r="G39" s="14">
        <f t="shared" ca="1" si="44"/>
        <v>120</v>
      </c>
      <c r="H39" s="14">
        <f t="shared" ca="1" si="44"/>
        <v>120</v>
      </c>
      <c r="I39" s="14">
        <f t="shared" ca="1" si="44"/>
        <v>120</v>
      </c>
      <c r="J39" s="14">
        <f t="shared" ca="1" si="44"/>
        <v>120</v>
      </c>
      <c r="K39" s="14">
        <f t="shared" ca="1" si="44"/>
        <v>120</v>
      </c>
      <c r="L39" s="14">
        <f t="shared" ca="1" si="44"/>
        <v>120</v>
      </c>
      <c r="M39" s="14">
        <f t="shared" ca="1" si="44"/>
        <v>120</v>
      </c>
    </row>
    <row r="40" spans="2:43" x14ac:dyDescent="0.3">
      <c r="B40" s="3" t="s">
        <v>64</v>
      </c>
      <c r="C40" s="1">
        <v>0</v>
      </c>
      <c r="D40" s="14">
        <f ca="1">$Q$20</f>
        <v>300</v>
      </c>
      <c r="E40" s="14">
        <f t="shared" ref="E40:M40" ca="1" si="45">$Q$20</f>
        <v>300</v>
      </c>
      <c r="F40" s="14">
        <f t="shared" ca="1" si="45"/>
        <v>300</v>
      </c>
      <c r="G40" s="14">
        <f t="shared" ca="1" si="45"/>
        <v>300</v>
      </c>
      <c r="H40" s="14">
        <f t="shared" ca="1" si="45"/>
        <v>300</v>
      </c>
      <c r="I40" s="14">
        <f t="shared" ca="1" si="45"/>
        <v>300</v>
      </c>
      <c r="J40" s="14">
        <f t="shared" ca="1" si="45"/>
        <v>300</v>
      </c>
      <c r="K40" s="14">
        <f t="shared" ca="1" si="45"/>
        <v>300</v>
      </c>
      <c r="L40" s="14">
        <f t="shared" ca="1" si="45"/>
        <v>300</v>
      </c>
      <c r="M40" s="14">
        <f t="shared" ca="1" si="45"/>
        <v>300</v>
      </c>
      <c r="V40" s="1" t="s">
        <v>26</v>
      </c>
      <c r="W40" s="33">
        <v>0</v>
      </c>
      <c r="X40" s="7" t="e" cm="1">
        <f t="array" ref="X40:X43">TRANSPOSE(V34:Y34)</f>
        <v>#NUM!</v>
      </c>
    </row>
    <row r="41" spans="2:43" x14ac:dyDescent="0.3">
      <c r="B41" s="68" t="s">
        <v>65</v>
      </c>
      <c r="C41" s="69">
        <f>SUM(C39:C40)+C34</f>
        <v>-312</v>
      </c>
      <c r="D41" s="69">
        <f ca="1">SUM(D39:D40)+D34</f>
        <v>557.04263070590468</v>
      </c>
      <c r="E41" s="69">
        <f t="shared" ref="E41:M41" ca="1" si="46">SUM(E39:E40)+E34</f>
        <v>671.63206284121361</v>
      </c>
      <c r="F41" s="69">
        <f t="shared" ca="1" si="46"/>
        <v>752.15798662376574</v>
      </c>
      <c r="G41" s="69">
        <f t="shared" ca="1" si="46"/>
        <v>838.81028532381515</v>
      </c>
      <c r="H41" s="69">
        <f t="shared" ca="1" si="46"/>
        <v>931.93677267625981</v>
      </c>
      <c r="I41" s="69">
        <f t="shared" ca="1" si="46"/>
        <v>1031.9260226876686</v>
      </c>
      <c r="J41" s="69">
        <f t="shared" ca="1" si="46"/>
        <v>1139.1884369965542</v>
      </c>
      <c r="K41" s="69">
        <f t="shared" ca="1" si="46"/>
        <v>1254.1574393156034</v>
      </c>
      <c r="L41" s="69">
        <f t="shared" ca="1" si="46"/>
        <v>1377.2907344113423</v>
      </c>
      <c r="M41" s="69">
        <f t="shared" ca="1" si="46"/>
        <v>1509.0716350821062</v>
      </c>
      <c r="N41" s="7">
        <f ca="1">_xlfn.RRI(9,D41,M41)</f>
        <v>0.11709798697573826</v>
      </c>
      <c r="V41" s="1" t="s">
        <v>87</v>
      </c>
      <c r="W41" s="33">
        <f>X41-W40</f>
        <v>7.9343268847215098E-2</v>
      </c>
      <c r="X41" s="7">
        <v>7.9343268847215098E-2</v>
      </c>
    </row>
    <row r="42" spans="2:43" x14ac:dyDescent="0.3">
      <c r="B42" s="3" t="s">
        <v>18</v>
      </c>
      <c r="D42" s="7">
        <f t="shared" ref="D42:M42" ca="1" si="47">D41/D15</f>
        <v>9.3543699987490042E-2</v>
      </c>
      <c r="E42" s="7">
        <f t="shared" ca="1" si="47"/>
        <v>0.10540978215989852</v>
      </c>
      <c r="F42" s="7">
        <f t="shared" ca="1" si="47"/>
        <v>0.11242777087161678</v>
      </c>
      <c r="G42" s="7">
        <f t="shared" ca="1" si="47"/>
        <v>0.11940964728595482</v>
      </c>
      <c r="H42" s="7">
        <f t="shared" ca="1" si="47"/>
        <v>0.12634941516941381</v>
      </c>
      <c r="I42" s="7">
        <f t="shared" ca="1" si="47"/>
        <v>0.133243628515156</v>
      </c>
      <c r="J42" s="7">
        <f t="shared" ca="1" si="47"/>
        <v>0.14008916115453704</v>
      </c>
      <c r="K42" s="7">
        <f t="shared" ca="1" si="47"/>
        <v>0.14688318707836309</v>
      </c>
      <c r="L42" s="7">
        <f t="shared" ca="1" si="47"/>
        <v>0.15362316182212316</v>
      </c>
      <c r="M42" s="7">
        <f t="shared" ca="1" si="47"/>
        <v>0.16030680486092824</v>
      </c>
      <c r="V42" s="1" t="s">
        <v>11</v>
      </c>
      <c r="W42" s="33">
        <f>X42-W41</f>
        <v>8.3727984756919893E-2</v>
      </c>
      <c r="X42" s="7">
        <v>0.16307125360413499</v>
      </c>
    </row>
    <row r="43" spans="2:43" x14ac:dyDescent="0.3">
      <c r="B43" s="3" t="s">
        <v>8</v>
      </c>
      <c r="D43" s="7">
        <f ca="1">D41/C41-1</f>
        <v>-2.7853930471343098</v>
      </c>
      <c r="E43" s="7">
        <f t="shared" ref="E43:M43" ca="1" si="48">E41/D41-1</f>
        <v>0.20571034570567259</v>
      </c>
      <c r="F43" s="7">
        <f t="shared" ca="1" si="48"/>
        <v>0.1198958897851039</v>
      </c>
      <c r="G43" s="7">
        <f t="shared" ca="1" si="48"/>
        <v>0.11520491737249006</v>
      </c>
      <c r="H43" s="7">
        <f t="shared" ca="1" si="48"/>
        <v>0.11102210950655422</v>
      </c>
      <c r="I43" s="7">
        <f t="shared" ca="1" si="48"/>
        <v>0.10729188174887416</v>
      </c>
      <c r="J43" s="7">
        <f t="shared" ca="1" si="48"/>
        <v>0.10394389903020262</v>
      </c>
      <c r="K43" s="7">
        <f t="shared" ca="1" si="48"/>
        <v>0.1009218480325893</v>
      </c>
      <c r="L43" s="7">
        <f t="shared" ca="1" si="48"/>
        <v>9.8180093850843031E-2</v>
      </c>
      <c r="M43" s="7">
        <f t="shared" ca="1" si="48"/>
        <v>9.5681251153618918E-2</v>
      </c>
      <c r="W43" s="33">
        <f>X43-X42</f>
        <v>0</v>
      </c>
      <c r="X43" s="7">
        <v>0.16307125360413499</v>
      </c>
    </row>
    <row r="44" spans="2:43" x14ac:dyDescent="0.3">
      <c r="V44" s="1" t="s">
        <v>26</v>
      </c>
      <c r="W44" s="33">
        <f>X43</f>
        <v>0.16307125360413499</v>
      </c>
    </row>
    <row r="45" spans="2:43" x14ac:dyDescent="0.3">
      <c r="B45" s="22" t="s">
        <v>19</v>
      </c>
    </row>
    <row r="46" spans="2:43" x14ac:dyDescent="0.3">
      <c r="B46" s="20" t="s">
        <v>17</v>
      </c>
      <c r="C46" s="30">
        <f t="shared" ref="C46:M46" si="49">C34</f>
        <v>-312</v>
      </c>
      <c r="D46" s="21">
        <f t="shared" ca="1" si="49"/>
        <v>137.04263070590468</v>
      </c>
      <c r="E46" s="21">
        <f t="shared" ca="1" si="49"/>
        <v>251.63206284121361</v>
      </c>
      <c r="F46" s="21">
        <f t="shared" ca="1" si="49"/>
        <v>332.15798662376574</v>
      </c>
      <c r="G46" s="21">
        <f t="shared" ca="1" si="49"/>
        <v>418.81028532381515</v>
      </c>
      <c r="H46" s="21">
        <f t="shared" ca="1" si="49"/>
        <v>511.93677267625981</v>
      </c>
      <c r="I46" s="21">
        <f t="shared" ca="1" si="49"/>
        <v>611.92602268766859</v>
      </c>
      <c r="J46" s="21">
        <f t="shared" ca="1" si="49"/>
        <v>719.18843699655417</v>
      </c>
      <c r="K46" s="21">
        <f t="shared" ca="1" si="49"/>
        <v>834.15743931560337</v>
      </c>
      <c r="L46" s="21">
        <f t="shared" ca="1" si="49"/>
        <v>957.29073441134233</v>
      </c>
      <c r="M46" s="21">
        <f t="shared" ca="1" si="49"/>
        <v>1089.0716350821062</v>
      </c>
    </row>
    <row r="47" spans="2:43" x14ac:dyDescent="0.3">
      <c r="B47" s="1" t="s">
        <v>20</v>
      </c>
      <c r="C47" s="29">
        <f t="shared" ref="C47:M47" si="50">-MAX((C46+C83)*25%,0)</f>
        <v>0</v>
      </c>
      <c r="D47" s="14">
        <f t="shared" ca="1" si="50"/>
        <v>-4.4861976764761629</v>
      </c>
      <c r="E47" s="14">
        <f t="shared" ca="1" si="50"/>
        <v>-31.049868910303402</v>
      </c>
      <c r="F47" s="14">
        <f t="shared" ca="1" si="50"/>
        <v>-49.588776215941422</v>
      </c>
      <c r="G47" s="14">
        <f t="shared" ca="1" si="50"/>
        <v>-69.579350368953783</v>
      </c>
      <c r="H47" s="14">
        <f t="shared" ca="1" si="50"/>
        <v>-91.104846658964931</v>
      </c>
      <c r="I47" s="14">
        <f t="shared" ca="1" si="50"/>
        <v>-114.25822733631213</v>
      </c>
      <c r="J47" s="14">
        <f t="shared" ca="1" si="50"/>
        <v>-139.13770249675326</v>
      </c>
      <c r="K47" s="14">
        <f t="shared" ca="1" si="50"/>
        <v>-165.84701823889631</v>
      </c>
      <c r="L47" s="14">
        <f t="shared" ca="1" si="50"/>
        <v>-194.49576043333082</v>
      </c>
      <c r="M47" s="14">
        <f t="shared" ca="1" si="50"/>
        <v>-225.19967494254655</v>
      </c>
    </row>
    <row r="48" spans="2:43" x14ac:dyDescent="0.3">
      <c r="B48" s="1" t="s">
        <v>21</v>
      </c>
      <c r="C48" s="29">
        <f>C83</f>
        <v>-108</v>
      </c>
      <c r="D48" s="14">
        <f ca="1">D83</f>
        <v>-119.09784000000003</v>
      </c>
      <c r="E48" s="14">
        <f t="shared" ref="E48:M48" ca="1" si="51">E83</f>
        <v>-127.4325872</v>
      </c>
      <c r="F48" s="14">
        <f t="shared" ca="1" si="51"/>
        <v>-133.80288176000005</v>
      </c>
      <c r="G48" s="14">
        <f t="shared" ca="1" si="51"/>
        <v>-140.49288384800005</v>
      </c>
      <c r="H48" s="14">
        <f t="shared" ca="1" si="51"/>
        <v>-147.51738604040008</v>
      </c>
      <c r="I48" s="14">
        <f t="shared" ca="1" si="51"/>
        <v>-154.89311334242007</v>
      </c>
      <c r="J48" s="14">
        <f t="shared" ca="1" si="51"/>
        <v>-162.63762700954106</v>
      </c>
      <c r="K48" s="14">
        <f t="shared" ca="1" si="51"/>
        <v>-170.76936636001815</v>
      </c>
      <c r="L48" s="14">
        <f t="shared" ca="1" si="51"/>
        <v>-179.30769267801904</v>
      </c>
      <c r="M48" s="14">
        <f t="shared" ca="1" si="51"/>
        <v>-188.27293531192001</v>
      </c>
    </row>
    <row r="49" spans="1:20" x14ac:dyDescent="0.3">
      <c r="B49" s="1" t="s">
        <v>22</v>
      </c>
      <c r="C49" s="29"/>
      <c r="D49" s="14">
        <f ca="1">-(D86-C86)</f>
        <v>-20.715680000000049</v>
      </c>
      <c r="E49" s="14">
        <f t="shared" ref="E49:M49" ca="1" si="52">-(E86-D86)</f>
        <v>-16.669494399999934</v>
      </c>
      <c r="F49" s="14">
        <f t="shared" ca="1" si="52"/>
        <v>-12.740589120000095</v>
      </c>
      <c r="G49" s="14">
        <f t="shared" ca="1" si="52"/>
        <v>-13.380004176</v>
      </c>
      <c r="H49" s="14">
        <f t="shared" ca="1" si="52"/>
        <v>-14.049004384800071</v>
      </c>
      <c r="I49" s="14">
        <f t="shared" ca="1" si="52"/>
        <v>-14.751454604039964</v>
      </c>
      <c r="J49" s="14">
        <f t="shared" ca="1" si="52"/>
        <v>-15.489027334241996</v>
      </c>
      <c r="K49" s="14">
        <f t="shared" ca="1" si="52"/>
        <v>-16.263478700954181</v>
      </c>
      <c r="L49" s="14">
        <f t="shared" ca="1" si="52"/>
        <v>-17.076652636001768</v>
      </c>
      <c r="M49" s="14">
        <f t="shared" ca="1" si="52"/>
        <v>-17.930485267801942</v>
      </c>
    </row>
    <row r="50" spans="1:20" x14ac:dyDescent="0.3">
      <c r="B50" s="62" t="s">
        <v>23</v>
      </c>
      <c r="C50" s="63">
        <f>SUM(C46:C49)</f>
        <v>-420</v>
      </c>
      <c r="D50" s="63">
        <f ca="1">SUM(D46:D49)</f>
        <v>-7.2570869705715637</v>
      </c>
      <c r="E50" s="63">
        <f t="shared" ref="E50:M50" ca="1" si="53">SUM(E46:E49)</f>
        <v>76.480112330910259</v>
      </c>
      <c r="F50" s="63">
        <f t="shared" ca="1" si="53"/>
        <v>136.02573952782416</v>
      </c>
      <c r="G50" s="63">
        <f t="shared" ca="1" si="53"/>
        <v>195.35804693086132</v>
      </c>
      <c r="H50" s="63">
        <f t="shared" ca="1" si="53"/>
        <v>259.26553559209475</v>
      </c>
      <c r="I50" s="63">
        <f t="shared" ca="1" si="53"/>
        <v>328.02322740489643</v>
      </c>
      <c r="J50" s="63">
        <f t="shared" ca="1" si="53"/>
        <v>401.92408015601785</v>
      </c>
      <c r="K50" s="63">
        <f t="shared" ca="1" si="53"/>
        <v>481.27757601573472</v>
      </c>
      <c r="L50" s="63">
        <f t="shared" ca="1" si="53"/>
        <v>566.41062866399068</v>
      </c>
      <c r="M50" s="63">
        <f t="shared" ca="1" si="53"/>
        <v>657.66853955983765</v>
      </c>
    </row>
    <row r="53" spans="1:20" x14ac:dyDescent="0.3">
      <c r="B53" s="23" t="s">
        <v>40</v>
      </c>
      <c r="C53" s="23"/>
    </row>
    <row r="54" spans="1:20" x14ac:dyDescent="0.3">
      <c r="A54" s="1" t="s">
        <v>0</v>
      </c>
      <c r="B54" s="1" t="s">
        <v>50</v>
      </c>
      <c r="C54" s="24">
        <f ca="1">NPV($Q$27,D50:M50)</f>
        <v>1155.372955691156</v>
      </c>
    </row>
    <row r="55" spans="1:20" x14ac:dyDescent="0.3">
      <c r="B55" s="1" t="s">
        <v>49</v>
      </c>
      <c r="C55" s="16">
        <f ca="1">M34*Q28/(1+Q27)^10</f>
        <v>2692.0185206343035</v>
      </c>
    </row>
    <row r="56" spans="1:20" x14ac:dyDescent="0.3">
      <c r="B56" s="62" t="s">
        <v>41</v>
      </c>
      <c r="C56" s="70">
        <f ca="1">SUM(C54:C55)</f>
        <v>3847.3914763254597</v>
      </c>
    </row>
    <row r="58" spans="1:20" x14ac:dyDescent="0.3">
      <c r="B58" s="1" t="s">
        <v>51</v>
      </c>
      <c r="C58" s="14">
        <f ca="1">Q29</f>
        <v>4200</v>
      </c>
    </row>
    <row r="60" spans="1:20" ht="17" x14ac:dyDescent="0.6">
      <c r="B60" s="10" t="s">
        <v>1</v>
      </c>
      <c r="C60" s="11">
        <v>44196</v>
      </c>
      <c r="D60" s="11">
        <f>C60+365</f>
        <v>44561</v>
      </c>
      <c r="E60" s="11">
        <f t="shared" ref="E60:M60" si="54">D60+365</f>
        <v>44926</v>
      </c>
      <c r="F60" s="11">
        <f t="shared" si="54"/>
        <v>45291</v>
      </c>
      <c r="G60" s="11">
        <f t="shared" si="54"/>
        <v>45656</v>
      </c>
      <c r="H60" s="11">
        <f t="shared" si="54"/>
        <v>46021</v>
      </c>
      <c r="I60" s="11">
        <f t="shared" si="54"/>
        <v>46386</v>
      </c>
      <c r="J60" s="11">
        <f t="shared" si="54"/>
        <v>46751</v>
      </c>
      <c r="K60" s="11">
        <f t="shared" si="54"/>
        <v>47116</v>
      </c>
      <c r="L60" s="11">
        <f t="shared" si="54"/>
        <v>47481</v>
      </c>
      <c r="M60" s="11">
        <f t="shared" si="54"/>
        <v>47846</v>
      </c>
      <c r="P60" s="41" t="s">
        <v>82</v>
      </c>
      <c r="Q60" s="41" t="s">
        <v>26</v>
      </c>
      <c r="R60" s="41" t="s">
        <v>84</v>
      </c>
      <c r="S60" s="56" t="s">
        <v>85</v>
      </c>
      <c r="T60" s="56"/>
    </row>
    <row r="61" spans="1:20" x14ac:dyDescent="0.3">
      <c r="B61" s="3" t="s">
        <v>51</v>
      </c>
      <c r="C61" s="14">
        <f ca="1">-C58*R30</f>
        <v>-2520</v>
      </c>
      <c r="P61" s="1" t="s">
        <v>91</v>
      </c>
      <c r="Q61" s="13">
        <f>R7</f>
        <v>0.1</v>
      </c>
      <c r="R61" s="13">
        <v>0.02</v>
      </c>
      <c r="S61" s="7" cm="1">
        <f t="array" ref="S61:S67">TRANSPOSE(Z36:AF36)</f>
        <v>4.3972116507882131E-3</v>
      </c>
      <c r="T61" s="51" t="str">
        <f>REPT("|",1200*S61)</f>
        <v>|||||</v>
      </c>
    </row>
    <row r="62" spans="1:20" x14ac:dyDescent="0.3">
      <c r="B62" s="3" t="s">
        <v>54</v>
      </c>
      <c r="D62" s="16">
        <f ca="1">D50</f>
        <v>-7.2570869705715637</v>
      </c>
      <c r="E62" s="16">
        <f t="shared" ref="E62:M62" ca="1" si="55">E50</f>
        <v>76.480112330910259</v>
      </c>
      <c r="F62" s="16">
        <f t="shared" ca="1" si="55"/>
        <v>136.02573952782416</v>
      </c>
      <c r="G62" s="16">
        <f t="shared" ca="1" si="55"/>
        <v>195.35804693086132</v>
      </c>
      <c r="H62" s="16">
        <f t="shared" ca="1" si="55"/>
        <v>259.26553559209475</v>
      </c>
      <c r="I62" s="16">
        <f t="shared" ca="1" si="55"/>
        <v>328.02322740489643</v>
      </c>
      <c r="J62" s="16">
        <f t="shared" ca="1" si="55"/>
        <v>401.92408015601785</v>
      </c>
      <c r="K62" s="16">
        <f t="shared" ca="1" si="55"/>
        <v>481.27757601573472</v>
      </c>
      <c r="L62" s="16">
        <f t="shared" ca="1" si="55"/>
        <v>566.41062866399068</v>
      </c>
      <c r="M62" s="16">
        <f t="shared" ca="1" si="55"/>
        <v>657.66853955983765</v>
      </c>
      <c r="P62" s="1" t="s">
        <v>83</v>
      </c>
      <c r="Q62" s="13">
        <f t="shared" ref="Q62:Q63" si="56">R8</f>
        <v>7.0000000000000007E-2</v>
      </c>
      <c r="R62" s="13">
        <v>0.02</v>
      </c>
      <c r="S62" s="7">
        <v>4.0841821206767381E-3</v>
      </c>
      <c r="T62" s="51" t="str">
        <f t="shared" ref="T62:T78" si="57">REPT("|",1200*S62)</f>
        <v>||||</v>
      </c>
    </row>
    <row r="63" spans="1:20" x14ac:dyDescent="0.3">
      <c r="B63" s="3" t="s">
        <v>48</v>
      </c>
      <c r="F63" s="16">
        <f ca="1">IF(F42&gt;10%,-F41*Q31,0)</f>
        <v>-1504.3159732475315</v>
      </c>
      <c r="G63" s="16"/>
      <c r="H63" s="16"/>
      <c r="I63" s="16"/>
      <c r="J63" s="16"/>
      <c r="K63" s="16"/>
      <c r="L63" s="16"/>
      <c r="M63" s="16"/>
      <c r="P63" s="1" t="s">
        <v>86</v>
      </c>
      <c r="Q63" s="13">
        <f t="shared" si="56"/>
        <v>0.05</v>
      </c>
      <c r="R63" s="13">
        <v>0.02</v>
      </c>
      <c r="S63" s="7">
        <v>2.8246430045690607E-2</v>
      </c>
      <c r="T63" s="51" t="str">
        <f t="shared" si="57"/>
        <v>|||||||||||||||||||||||||||||||||</v>
      </c>
    </row>
    <row r="64" spans="1:20" x14ac:dyDescent="0.3">
      <c r="B64" s="3" t="s">
        <v>53</v>
      </c>
      <c r="M64" s="14">
        <f ca="1">Q28*M34</f>
        <v>10890.716350821061</v>
      </c>
      <c r="P64" s="1" t="str">
        <f>P17</f>
        <v>Gross Margin</v>
      </c>
      <c r="Q64" s="13">
        <f>S17</f>
        <v>0.37</v>
      </c>
      <c r="R64" s="13">
        <v>0.01</v>
      </c>
      <c r="S64" s="7">
        <v>2.3180354210645016E-2</v>
      </c>
      <c r="T64" s="51" t="str">
        <f t="shared" si="57"/>
        <v>|||||||||||||||||||||||||||</v>
      </c>
    </row>
    <row r="65" spans="2:20" x14ac:dyDescent="0.3">
      <c r="B65" s="6" t="s">
        <v>23</v>
      </c>
      <c r="C65" s="18">
        <f ca="1">SUM(C61:C64)</f>
        <v>-2520</v>
      </c>
      <c r="D65" s="18">
        <f t="shared" ref="D65:M65" ca="1" si="58">SUM(D61:D64)</f>
        <v>-7.2570869705715637</v>
      </c>
      <c r="E65" s="18">
        <f t="shared" ca="1" si="58"/>
        <v>76.480112330910259</v>
      </c>
      <c r="F65" s="18">
        <f t="shared" ca="1" si="58"/>
        <v>-1368.2902337197074</v>
      </c>
      <c r="G65" s="18">
        <f t="shared" ca="1" si="58"/>
        <v>195.35804693086132</v>
      </c>
      <c r="H65" s="18">
        <f t="shared" ca="1" si="58"/>
        <v>259.26553559209475</v>
      </c>
      <c r="I65" s="18">
        <f t="shared" ca="1" si="58"/>
        <v>328.02322740489643</v>
      </c>
      <c r="J65" s="18">
        <f t="shared" ca="1" si="58"/>
        <v>401.92408015601785</v>
      </c>
      <c r="K65" s="18">
        <f t="shared" ca="1" si="58"/>
        <v>481.27757601573472</v>
      </c>
      <c r="L65" s="18">
        <f t="shared" ca="1" si="58"/>
        <v>566.41062866399068</v>
      </c>
      <c r="M65" s="18">
        <f t="shared" ca="1" si="58"/>
        <v>11548.384890380899</v>
      </c>
      <c r="N65" s="17"/>
      <c r="P65" s="1" t="str">
        <f t="shared" ref="P65:P78" si="59">P18</f>
        <v>Synergies GM</v>
      </c>
      <c r="Q65" s="14">
        <f t="shared" ref="Q65:Q77" si="60">S18</f>
        <v>300</v>
      </c>
      <c r="R65" s="1">
        <v>100</v>
      </c>
      <c r="S65" s="7">
        <v>1.1927752051180462E-2</v>
      </c>
      <c r="T65" s="51" t="str">
        <f t="shared" si="57"/>
        <v>||||||||||||||</v>
      </c>
    </row>
    <row r="66" spans="2:20" x14ac:dyDescent="0.3">
      <c r="P66" s="1" t="str">
        <f t="shared" si="59"/>
        <v>Synergies Employee</v>
      </c>
      <c r="Q66" s="14">
        <f t="shared" si="60"/>
        <v>120</v>
      </c>
      <c r="R66" s="1">
        <v>100</v>
      </c>
      <c r="S66" s="7">
        <v>1.0487304231270311E-3</v>
      </c>
      <c r="T66" s="51" t="str">
        <f t="shared" si="57"/>
        <v>|</v>
      </c>
    </row>
    <row r="67" spans="2:20" x14ac:dyDescent="0.3">
      <c r="B67" s="71" t="s">
        <v>56</v>
      </c>
      <c r="C67" s="72">
        <f ca="1">IRR(C65:M65)</f>
        <v>0.16307125360413499</v>
      </c>
      <c r="P67" s="1" t="str">
        <f t="shared" si="59"/>
        <v>Synergies Overhead</v>
      </c>
      <c r="Q67" s="14">
        <f t="shared" si="60"/>
        <v>300</v>
      </c>
      <c r="R67" s="1">
        <v>100</v>
      </c>
      <c r="S67" s="7">
        <v>4.2924619938655706E-2</v>
      </c>
      <c r="T67" s="51" t="str">
        <f t="shared" si="57"/>
        <v>|||||||||||||||||||||||||||||||||||||||||||||||||||</v>
      </c>
    </row>
    <row r="68" spans="2:20" x14ac:dyDescent="0.3">
      <c r="P68" s="1" t="str">
        <f t="shared" si="59"/>
        <v>G&amp;A</v>
      </c>
      <c r="Q68" s="13">
        <f t="shared" si="60"/>
        <v>0.02</v>
      </c>
      <c r="R68" s="13">
        <v>0.01</v>
      </c>
      <c r="S68" s="7" cm="1">
        <f t="array" ref="S68:S78">TRANSPOSE(AG36:AQ36)</f>
        <v>1.6329345555567976E-2</v>
      </c>
      <c r="T68" s="51" t="str">
        <f t="shared" si="57"/>
        <v>|||||||||||||||||||</v>
      </c>
    </row>
    <row r="69" spans="2:20" x14ac:dyDescent="0.3">
      <c r="B69" s="1" t="s">
        <v>59</v>
      </c>
      <c r="C69" s="33">
        <f>C14/(SUM(C8:C12))</f>
        <v>-7.5968728755948331E-2</v>
      </c>
      <c r="P69" s="1" t="str">
        <f t="shared" si="59"/>
        <v>Advertising</v>
      </c>
      <c r="Q69" s="13">
        <f t="shared" si="60"/>
        <v>0.02</v>
      </c>
      <c r="R69" s="13">
        <v>0.01</v>
      </c>
      <c r="S69" s="7">
        <v>3.2415614467771192E-3</v>
      </c>
      <c r="T69" s="51" t="str">
        <f t="shared" si="57"/>
        <v>|||</v>
      </c>
    </row>
    <row r="70" spans="2:20" x14ac:dyDescent="0.3">
      <c r="P70" s="1" t="str">
        <f t="shared" si="59"/>
        <v>Employment</v>
      </c>
      <c r="Q70" s="13">
        <f t="shared" si="60"/>
        <v>0.02</v>
      </c>
      <c r="R70" s="13">
        <v>0.01</v>
      </c>
      <c r="S70" s="7">
        <v>1.9725290434467579E-2</v>
      </c>
      <c r="T70" s="51" t="str">
        <f t="shared" si="57"/>
        <v>|||||||||||||||||||||||</v>
      </c>
    </row>
    <row r="71" spans="2:20" x14ac:dyDescent="0.3">
      <c r="P71" s="1" t="str">
        <f t="shared" si="59"/>
        <v>D&amp;A</v>
      </c>
      <c r="Q71" s="13">
        <f t="shared" si="60"/>
        <v>0.02</v>
      </c>
      <c r="R71" s="13">
        <v>0.01</v>
      </c>
      <c r="S71" s="7">
        <v>1.0846392531738358E-2</v>
      </c>
      <c r="T71" s="51" t="str">
        <f t="shared" si="57"/>
        <v>|||||||||||||</v>
      </c>
    </row>
    <row r="72" spans="2:20" ht="17" x14ac:dyDescent="0.6">
      <c r="B72" s="10" t="s">
        <v>1</v>
      </c>
      <c r="C72" s="11">
        <v>44196</v>
      </c>
      <c r="D72" s="11">
        <v>44561</v>
      </c>
      <c r="E72" s="11">
        <v>44926</v>
      </c>
      <c r="F72" s="11">
        <v>45291</v>
      </c>
      <c r="G72" s="11">
        <v>45656</v>
      </c>
      <c r="H72" s="11">
        <v>47481</v>
      </c>
      <c r="I72" s="11">
        <v>47846</v>
      </c>
      <c r="P72" s="1" t="str">
        <f t="shared" si="59"/>
        <v>Capex</v>
      </c>
      <c r="Q72" s="13">
        <f t="shared" si="60"/>
        <v>0.02</v>
      </c>
      <c r="R72" s="13">
        <v>0.01</v>
      </c>
      <c r="S72" s="7">
        <v>0</v>
      </c>
      <c r="T72" s="51" t="str">
        <f t="shared" si="57"/>
        <v/>
      </c>
    </row>
    <row r="73" spans="2:20" x14ac:dyDescent="0.3">
      <c r="B73" s="3" t="s">
        <v>51</v>
      </c>
      <c r="C73" s="14">
        <v>-2520</v>
      </c>
      <c r="P73" s="1" t="str">
        <f t="shared" si="59"/>
        <v>NWC</v>
      </c>
      <c r="Q73" s="13">
        <f t="shared" si="60"/>
        <v>0.04</v>
      </c>
      <c r="R73" s="13">
        <v>0.01</v>
      </c>
      <c r="S73" s="7">
        <v>7.8827440542217353E-4</v>
      </c>
      <c r="T73" s="51" t="str">
        <f t="shared" si="57"/>
        <v/>
      </c>
    </row>
    <row r="74" spans="2:20" x14ac:dyDescent="0.3">
      <c r="B74" s="3" t="s">
        <v>54</v>
      </c>
      <c r="D74" s="16">
        <v>-7.2570869705715637</v>
      </c>
      <c r="E74" s="16">
        <v>76.480112330910259</v>
      </c>
      <c r="F74" s="16">
        <v>136.02573952782416</v>
      </c>
      <c r="G74" s="16">
        <v>195.35804693086132</v>
      </c>
      <c r="H74" s="16">
        <v>566.41062866399068</v>
      </c>
      <c r="I74" s="16">
        <v>657.66853955983765</v>
      </c>
      <c r="P74" s="1" t="str">
        <f t="shared" si="59"/>
        <v>Discount Rate</v>
      </c>
      <c r="Q74" s="13">
        <f t="shared" si="60"/>
        <v>0.15</v>
      </c>
      <c r="R74" s="13">
        <v>0.01</v>
      </c>
      <c r="S74" s="7">
        <v>0</v>
      </c>
      <c r="T74" s="51" t="str">
        <f t="shared" si="57"/>
        <v/>
      </c>
    </row>
    <row r="75" spans="2:20" x14ac:dyDescent="0.3">
      <c r="B75" s="3" t="s">
        <v>48</v>
      </c>
      <c r="F75" s="16">
        <v>-1504.3159732475315</v>
      </c>
      <c r="P75" s="1" t="str">
        <f t="shared" si="59"/>
        <v>Exit Multiple</v>
      </c>
      <c r="Q75" s="16">
        <f t="shared" si="60"/>
        <v>10</v>
      </c>
      <c r="R75" s="1">
        <v>11</v>
      </c>
      <c r="S75" s="7">
        <v>9.5385520291690895E-3</v>
      </c>
      <c r="T75" s="51" t="str">
        <f t="shared" si="57"/>
        <v>|||||||||||</v>
      </c>
    </row>
    <row r="76" spans="2:20" x14ac:dyDescent="0.3">
      <c r="B76" s="3" t="s">
        <v>53</v>
      </c>
      <c r="I76" s="14">
        <v>10890.716350821061</v>
      </c>
      <c r="P76" s="1" t="str">
        <f t="shared" si="59"/>
        <v>Transaction Value</v>
      </c>
      <c r="Q76" s="16">
        <f t="shared" si="60"/>
        <v>4200</v>
      </c>
      <c r="R76" s="1">
        <v>550</v>
      </c>
      <c r="S76" s="7">
        <v>1.2770121266034051E-2</v>
      </c>
      <c r="T76" s="51" t="str">
        <f t="shared" si="57"/>
        <v>|||||||||||||||</v>
      </c>
    </row>
    <row r="77" spans="2:20" x14ac:dyDescent="0.3">
      <c r="B77" s="6" t="s">
        <v>23</v>
      </c>
      <c r="C77" s="18">
        <v>-2308.4348857952759</v>
      </c>
      <c r="D77" s="18">
        <v>-7.2570869705715637</v>
      </c>
      <c r="E77" s="18">
        <v>76.480112330910259</v>
      </c>
      <c r="F77" s="18">
        <v>-1368.2902337197074</v>
      </c>
      <c r="G77" s="18">
        <v>195.35804693086132</v>
      </c>
      <c r="H77" s="18">
        <v>566.41062866399068</v>
      </c>
      <c r="I77" s="18">
        <v>11548.384890380899</v>
      </c>
      <c r="P77" s="1" t="str">
        <f t="shared" si="59"/>
        <v>Payment Upfront</v>
      </c>
      <c r="Q77" s="13">
        <f t="shared" si="60"/>
        <v>0.6</v>
      </c>
      <c r="R77" s="13">
        <v>0.1</v>
      </c>
      <c r="S77" s="7">
        <v>1.2770121266034051E-2</v>
      </c>
      <c r="T77" s="51" t="str">
        <f t="shared" si="57"/>
        <v>|||||||||||||||</v>
      </c>
    </row>
    <row r="78" spans="2:20" x14ac:dyDescent="0.3">
      <c r="P78" s="1" t="str">
        <f t="shared" si="59"/>
        <v>Earnout EBITDA Mult.</v>
      </c>
      <c r="Q78" s="14">
        <v>200</v>
      </c>
      <c r="R78" s="14">
        <v>300</v>
      </c>
      <c r="S78" s="7">
        <v>0</v>
      </c>
      <c r="T78" s="51" t="str">
        <f t="shared" si="57"/>
        <v/>
      </c>
    </row>
    <row r="79" spans="2:20" x14ac:dyDescent="0.3">
      <c r="B79" s="71" t="s">
        <v>56</v>
      </c>
      <c r="C79" s="72">
        <v>0.16</v>
      </c>
    </row>
    <row r="83" spans="2:14" x14ac:dyDescent="0.3">
      <c r="B83" s="1" t="s">
        <v>39</v>
      </c>
      <c r="C83" s="1">
        <f>-108</f>
        <v>-108</v>
      </c>
      <c r="D83" s="14">
        <f t="shared" ref="D83:M83" ca="1" si="61">-D15*$Q$24</f>
        <v>-119.09784000000003</v>
      </c>
      <c r="E83" s="14">
        <f t="shared" ca="1" si="61"/>
        <v>-127.4325872</v>
      </c>
      <c r="F83" s="14">
        <f t="shared" ca="1" si="61"/>
        <v>-133.80288176000005</v>
      </c>
      <c r="G83" s="14">
        <f t="shared" ca="1" si="61"/>
        <v>-140.49288384800005</v>
      </c>
      <c r="H83" s="14">
        <f t="shared" ca="1" si="61"/>
        <v>-147.51738604040008</v>
      </c>
      <c r="I83" s="14">
        <f t="shared" ca="1" si="61"/>
        <v>-154.89311334242007</v>
      </c>
      <c r="J83" s="14">
        <f t="shared" ca="1" si="61"/>
        <v>-162.63762700954106</v>
      </c>
      <c r="K83" s="14">
        <f t="shared" ca="1" si="61"/>
        <v>-170.76936636001815</v>
      </c>
      <c r="L83" s="14">
        <f t="shared" ca="1" si="61"/>
        <v>-179.30769267801904</v>
      </c>
      <c r="M83" s="14">
        <f t="shared" ca="1" si="61"/>
        <v>-188.27293531192001</v>
      </c>
    </row>
    <row r="84" spans="2:14" x14ac:dyDescent="0.3">
      <c r="C84" s="7">
        <f>-C83/C15</f>
        <v>1.9863895530623506E-2</v>
      </c>
    </row>
    <row r="86" spans="2:14" x14ac:dyDescent="0.3">
      <c r="C86" s="17">
        <f t="shared" ref="C86:M86" ca="1" si="62">$Q$26*C15</f>
        <v>217.48000000000002</v>
      </c>
      <c r="D86" s="17">
        <f t="shared" ca="1" si="62"/>
        <v>238.19568000000007</v>
      </c>
      <c r="E86" s="17">
        <f t="shared" ca="1" si="62"/>
        <v>254.8651744</v>
      </c>
      <c r="F86" s="17">
        <f t="shared" ca="1" si="62"/>
        <v>267.6057635200001</v>
      </c>
      <c r="G86" s="17">
        <f t="shared" ca="1" si="62"/>
        <v>280.9857676960001</v>
      </c>
      <c r="H86" s="17">
        <f t="shared" ca="1" si="62"/>
        <v>295.03477208080017</v>
      </c>
      <c r="I86" s="17">
        <f t="shared" ca="1" si="62"/>
        <v>309.78622668484013</v>
      </c>
      <c r="J86" s="17">
        <f t="shared" ca="1" si="62"/>
        <v>325.27525401908213</v>
      </c>
      <c r="K86" s="17">
        <f t="shared" ca="1" si="62"/>
        <v>341.53873272003631</v>
      </c>
      <c r="L86" s="17">
        <f t="shared" ca="1" si="62"/>
        <v>358.61538535603808</v>
      </c>
      <c r="M86" s="17">
        <f t="shared" ca="1" si="62"/>
        <v>376.54587062384002</v>
      </c>
    </row>
    <row r="90" spans="2:14" ht="17" x14ac:dyDescent="0.6">
      <c r="B90" s="41" t="s">
        <v>1</v>
      </c>
      <c r="C90" s="55">
        <v>44196</v>
      </c>
      <c r="D90" s="55">
        <f>C90+365</f>
        <v>44561</v>
      </c>
      <c r="E90" s="55">
        <f t="shared" ref="E90:F90" si="63">D90+365</f>
        <v>44926</v>
      </c>
      <c r="F90" s="55">
        <f t="shared" si="63"/>
        <v>45291</v>
      </c>
      <c r="G90" s="55">
        <f>M5</f>
        <v>47846</v>
      </c>
      <c r="H90" s="11"/>
      <c r="I90" s="11"/>
      <c r="J90" s="11"/>
      <c r="K90" s="11"/>
      <c r="L90" s="11"/>
      <c r="M90" s="11"/>
      <c r="N90" s="11"/>
    </row>
    <row r="91" spans="2:14" x14ac:dyDescent="0.3">
      <c r="B91" s="59" t="s">
        <v>88</v>
      </c>
      <c r="C91" s="73">
        <f ca="1">D15</f>
        <v>5954.8920000000016</v>
      </c>
      <c r="D91" s="73">
        <f t="shared" ref="D91:G91" ca="1" si="64">E15</f>
        <v>6371.6293599999999</v>
      </c>
      <c r="E91" s="73">
        <f t="shared" ca="1" si="64"/>
        <v>6690.1440880000018</v>
      </c>
      <c r="F91" s="73">
        <f t="shared" ca="1" si="64"/>
        <v>7024.6441924000019</v>
      </c>
      <c r="G91" s="73">
        <f t="shared" ca="1" si="64"/>
        <v>7375.8693020200035</v>
      </c>
    </row>
    <row r="92" spans="2:14" x14ac:dyDescent="0.3">
      <c r="B92" s="3" t="s">
        <v>8</v>
      </c>
      <c r="D92" s="7">
        <f ca="1">D91/C91-1</f>
        <v>6.9982354004068936E-2</v>
      </c>
      <c r="E92" s="7">
        <f t="shared" ref="E92:G92" ca="1" si="65">E91/D91-1</f>
        <v>4.9989525442202032E-2</v>
      </c>
      <c r="F92" s="7">
        <f t="shared" ca="1" si="65"/>
        <v>4.9998938737356502E-2</v>
      </c>
      <c r="G92" s="7">
        <f t="shared" ca="1" si="65"/>
        <v>4.9998989272651562E-2</v>
      </c>
    </row>
    <row r="94" spans="2:14" x14ac:dyDescent="0.3">
      <c r="B94" s="59" t="s">
        <v>17</v>
      </c>
      <c r="C94" s="73">
        <f>C34</f>
        <v>-312</v>
      </c>
      <c r="D94" s="73">
        <f t="shared" ref="D94:F94" ca="1" si="66">D34</f>
        <v>137.04263070590468</v>
      </c>
      <c r="E94" s="73">
        <f t="shared" ca="1" si="66"/>
        <v>251.63206284121361</v>
      </c>
      <c r="F94" s="73">
        <f t="shared" ca="1" si="66"/>
        <v>332.15798662376574</v>
      </c>
      <c r="G94" s="73">
        <f ca="1">M34</f>
        <v>1089.0716350821062</v>
      </c>
    </row>
    <row r="95" spans="2:14" x14ac:dyDescent="0.3">
      <c r="B95" s="3" t="s">
        <v>8</v>
      </c>
      <c r="D95" s="54" t="s">
        <v>89</v>
      </c>
      <c r="E95" s="7">
        <f ca="1">E94/D94-1</f>
        <v>0.83615902252503727</v>
      </c>
      <c r="F95" s="7">
        <f ca="1">F94/E94-1</f>
        <v>0.32001455964443637</v>
      </c>
      <c r="G95" s="15">
        <f ca="1">M35</f>
        <v>0.11569072668653023</v>
      </c>
    </row>
    <row r="97" spans="2:7" x14ac:dyDescent="0.3">
      <c r="B97" s="59" t="s">
        <v>23</v>
      </c>
      <c r="C97" s="73">
        <f ca="1">C65</f>
        <v>-2520</v>
      </c>
      <c r="D97" s="73">
        <f t="shared" ref="D97:F97" ca="1" si="67">D65</f>
        <v>-7.2570869705715637</v>
      </c>
      <c r="E97" s="73">
        <f t="shared" ca="1" si="67"/>
        <v>76.480112330910259</v>
      </c>
      <c r="F97" s="73">
        <f t="shared" ca="1" si="67"/>
        <v>-1368.2902337197074</v>
      </c>
      <c r="G97" s="73">
        <f ca="1">M50</f>
        <v>657.66853955983765</v>
      </c>
    </row>
    <row r="98" spans="2:7" x14ac:dyDescent="0.3">
      <c r="B98" s="3"/>
    </row>
    <row r="100" spans="2:7" x14ac:dyDescent="0.3">
      <c r="B100" s="1" t="s">
        <v>51</v>
      </c>
      <c r="C100" s="75">
        <f ca="1">C61</f>
        <v>-2520</v>
      </c>
    </row>
    <row r="101" spans="2:7" x14ac:dyDescent="0.3">
      <c r="B101" s="1" t="s">
        <v>54</v>
      </c>
      <c r="C101" s="76"/>
      <c r="D101" s="16">
        <f ca="1">D62</f>
        <v>-7.2570869705715637</v>
      </c>
      <c r="E101" s="16">
        <f t="shared" ref="E101:F101" ca="1" si="68">E62</f>
        <v>76.480112330910259</v>
      </c>
      <c r="F101" s="16">
        <f t="shared" ca="1" si="68"/>
        <v>136.02573952782416</v>
      </c>
      <c r="G101" s="16">
        <f ca="1">M62</f>
        <v>657.66853955983765</v>
      </c>
    </row>
    <row r="102" spans="2:7" x14ac:dyDescent="0.3">
      <c r="B102" s="1" t="s">
        <v>48</v>
      </c>
      <c r="C102" s="76"/>
      <c r="F102" s="16">
        <f ca="1">F63</f>
        <v>-1504.3159732475315</v>
      </c>
    </row>
    <row r="103" spans="2:7" x14ac:dyDescent="0.3">
      <c r="B103" s="1" t="s">
        <v>53</v>
      </c>
      <c r="C103" s="76"/>
      <c r="G103" s="16">
        <f ca="1">M64</f>
        <v>10890.716350821061</v>
      </c>
    </row>
    <row r="104" spans="2:7" x14ac:dyDescent="0.3">
      <c r="B104" s="62" t="s">
        <v>19</v>
      </c>
      <c r="C104" s="77">
        <f ca="1">SUM(C100:C103)</f>
        <v>-2520</v>
      </c>
      <c r="D104" s="74">
        <f t="shared" ref="D104:G104" ca="1" si="69">SUM(D100:D103)</f>
        <v>-7.2570869705715637</v>
      </c>
      <c r="E104" s="74">
        <f t="shared" ca="1" si="69"/>
        <v>76.480112330910259</v>
      </c>
      <c r="F104" s="74">
        <f t="shared" ca="1" si="69"/>
        <v>-1368.2902337197074</v>
      </c>
      <c r="G104" s="74">
        <f t="shared" ca="1" si="69"/>
        <v>11548.384890380899</v>
      </c>
    </row>
    <row r="105" spans="2:7" x14ac:dyDescent="0.3">
      <c r="C105" s="12"/>
    </row>
    <row r="106" spans="2:7" x14ac:dyDescent="0.3">
      <c r="B106" s="34" t="s">
        <v>56</v>
      </c>
      <c r="C106" s="78">
        <f ca="1">C67</f>
        <v>0.16307125360413499</v>
      </c>
    </row>
  </sheetData>
  <mergeCells count="1">
    <mergeCell ref="S60:T6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0DAF-CFFE-4A55-85BC-EA7A1020266E}">
  <dimension ref="A1:F11"/>
  <sheetViews>
    <sheetView showGridLines="0" workbookViewId="0">
      <selection activeCell="E19" sqref="E19"/>
    </sheetView>
  </sheetViews>
  <sheetFormatPr defaultRowHeight="14" x14ac:dyDescent="0.3"/>
  <cols>
    <col min="1" max="1" width="1.6328125" style="1" customWidth="1"/>
    <col min="2" max="2" width="25.6328125" style="1" customWidth="1"/>
    <col min="3" max="3" width="24.36328125" style="1" bestFit="1" customWidth="1"/>
    <col min="4" max="6" width="15.6328125" style="1" customWidth="1"/>
    <col min="7" max="16384" width="8.7265625" style="1"/>
  </cols>
  <sheetData>
    <row r="1" spans="1:6" ht="28" x14ac:dyDescent="0.3">
      <c r="A1" s="40" t="s">
        <v>68</v>
      </c>
    </row>
    <row r="2" spans="1:6" x14ac:dyDescent="0.3">
      <c r="A2" s="1" t="s">
        <v>0</v>
      </c>
    </row>
    <row r="3" spans="1:6" ht="17" x14ac:dyDescent="0.6">
      <c r="C3" s="41" t="s">
        <v>69</v>
      </c>
      <c r="D3" s="41" t="s">
        <v>77</v>
      </c>
      <c r="E3" s="41" t="s">
        <v>70</v>
      </c>
      <c r="F3" s="41" t="s">
        <v>71</v>
      </c>
    </row>
    <row r="4" spans="1:6" x14ac:dyDescent="0.3">
      <c r="C4" s="1" t="s">
        <v>72</v>
      </c>
      <c r="D4" s="1">
        <v>16</v>
      </c>
      <c r="E4" s="42">
        <v>2.1</v>
      </c>
      <c r="F4" s="42">
        <v>8.5</v>
      </c>
    </row>
    <row r="5" spans="1:6" x14ac:dyDescent="0.3">
      <c r="C5" s="1" t="s">
        <v>76</v>
      </c>
      <c r="D5" s="1">
        <v>24</v>
      </c>
      <c r="E5" s="42">
        <v>0.8</v>
      </c>
      <c r="F5" s="42">
        <v>9.6999999999999993</v>
      </c>
    </row>
    <row r="6" spans="1:6" x14ac:dyDescent="0.3">
      <c r="C6" s="1" t="s">
        <v>73</v>
      </c>
      <c r="D6" s="1">
        <v>10</v>
      </c>
      <c r="E6" s="42">
        <v>0.6</v>
      </c>
      <c r="F6" s="42">
        <v>8</v>
      </c>
    </row>
    <row r="7" spans="1:6" x14ac:dyDescent="0.3">
      <c r="C7" s="1" t="s">
        <v>74</v>
      </c>
      <c r="D7" s="1">
        <v>11</v>
      </c>
      <c r="E7" s="42">
        <v>0.8</v>
      </c>
      <c r="F7" s="42">
        <v>12</v>
      </c>
    </row>
    <row r="8" spans="1:6" x14ac:dyDescent="0.3">
      <c r="C8" s="1" t="s">
        <v>75</v>
      </c>
      <c r="D8" s="1">
        <v>163</v>
      </c>
      <c r="E8" s="42">
        <v>1</v>
      </c>
      <c r="F8" s="42">
        <v>11</v>
      </c>
    </row>
    <row r="9" spans="1:6" x14ac:dyDescent="0.3">
      <c r="C9" s="43" t="s">
        <v>78</v>
      </c>
      <c r="D9" s="43"/>
      <c r="E9" s="44">
        <f>MEDIAN(E4:E8)</f>
        <v>0.8</v>
      </c>
      <c r="F9" s="44">
        <f>MEDIAN(F4:F8)</f>
        <v>9.6999999999999993</v>
      </c>
    </row>
    <row r="11" spans="1:6" x14ac:dyDescent="0.3">
      <c r="C11" s="8" t="s">
        <v>79</v>
      </c>
      <c r="D11" s="19">
        <v>4200</v>
      </c>
      <c r="E11" s="45">
        <f>D11/Sheet1!C15</f>
        <v>0.77248482619091408</v>
      </c>
      <c r="F11" s="45">
        <v>7.5398179034836295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PRescendent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Nathaniel Littkemann</cp:lastModifiedBy>
  <dcterms:created xsi:type="dcterms:W3CDTF">2015-06-05T18:17:20Z</dcterms:created>
  <dcterms:modified xsi:type="dcterms:W3CDTF">2024-12-29T16:34:23Z</dcterms:modified>
</cp:coreProperties>
</file>