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urface\Desktop\JDCC #3\"/>
    </mc:Choice>
  </mc:AlternateContent>
  <xr:revisionPtr revIDLastSave="0" documentId="13_ncr:1_{CC1F8B6C-F911-4280-B417-00630407BB01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eet1" sheetId="1" r:id="rId1"/>
  </sheets>
  <definedNames>
    <definedName name="_xlchart.v1.0" hidden="1">Sheet1!$W$51:$W$56</definedName>
    <definedName name="_xlchart.v1.1" hidden="1">Sheet1!$X$51:$X$56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N92" i="1"/>
  <c r="O97" i="1"/>
  <c r="P97" i="1" s="1"/>
  <c r="Q97" i="1" s="1"/>
  <c r="R97" i="1" s="1"/>
  <c r="S97" i="1" s="1"/>
  <c r="O79" i="1"/>
  <c r="P79" i="1" s="1"/>
  <c r="Q79" i="1" s="1"/>
  <c r="R79" i="1" s="1"/>
  <c r="S79" i="1" s="1"/>
  <c r="S137" i="1"/>
  <c r="S136" i="1"/>
  <c r="S135" i="1"/>
  <c r="O136" i="1" s="1"/>
  <c r="P136" i="1" s="1"/>
  <c r="Q136" i="1" s="1"/>
  <c r="O132" i="1"/>
  <c r="P132" i="1" s="1"/>
  <c r="Q132" i="1" s="1"/>
  <c r="O131" i="1"/>
  <c r="P131" i="1" s="1"/>
  <c r="Q131" i="1" s="1"/>
  <c r="S132" i="1"/>
  <c r="S131" i="1"/>
  <c r="S115" i="1"/>
  <c r="S114" i="1"/>
  <c r="O116" i="1"/>
  <c r="P116" i="1"/>
  <c r="Q116" i="1"/>
  <c r="R116" i="1"/>
  <c r="N116" i="1"/>
  <c r="N88" i="1"/>
  <c r="N113" i="1" s="1"/>
  <c r="N130" i="1" s="1"/>
  <c r="N134" i="1" s="1"/>
  <c r="O81" i="1"/>
  <c r="O83" i="1" s="1"/>
  <c r="P27" i="1"/>
  <c r="W51" i="1" a="1"/>
  <c r="W51" i="1" s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M36" i="1"/>
  <c r="AN36" i="1"/>
  <c r="AO36" i="1"/>
  <c r="AP36" i="1"/>
  <c r="U28" i="1"/>
  <c r="V28" i="1"/>
  <c r="W28" i="1"/>
  <c r="X28" i="1"/>
  <c r="Y28" i="1"/>
  <c r="Z28" i="1"/>
  <c r="AA28" i="1"/>
  <c r="AB28" i="1"/>
  <c r="AC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N9" i="1"/>
  <c r="N6" i="1"/>
  <c r="N7" i="1" s="1"/>
  <c r="O36" i="1"/>
  <c r="N36" i="1" s="1"/>
  <c r="N80" i="1" s="1"/>
  <c r="N83" i="1" s="1"/>
  <c r="N76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W48" i="1"/>
  <c r="N28" i="1"/>
  <c r="H28" i="1" s="1"/>
  <c r="J52" i="1"/>
  <c r="N69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6" i="1"/>
  <c r="N67" i="1"/>
  <c r="N68" i="1"/>
  <c r="N50" i="1"/>
  <c r="M51" i="1"/>
  <c r="M52" i="1"/>
  <c r="M53" i="1"/>
  <c r="M54" i="1"/>
  <c r="M55" i="1"/>
  <c r="M56" i="1"/>
  <c r="M57" i="1"/>
  <c r="M63" i="1"/>
  <c r="M64" i="1"/>
  <c r="M65" i="1"/>
  <c r="M66" i="1"/>
  <c r="M67" i="1"/>
  <c r="M68" i="1"/>
  <c r="M69" i="1"/>
  <c r="M50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O42" i="1"/>
  <c r="O41" i="1"/>
  <c r="V40" i="1"/>
  <c r="U39" i="1"/>
  <c r="V39" i="1" s="1"/>
  <c r="U38" i="1"/>
  <c r="V38" i="1" s="1"/>
  <c r="U37" i="1"/>
  <c r="V37" i="1" s="1"/>
  <c r="U35" i="1"/>
  <c r="V35" i="1" s="1"/>
  <c r="U34" i="1"/>
  <c r="V34" i="1" s="1"/>
  <c r="U33" i="1"/>
  <c r="V33" i="1" s="1"/>
  <c r="U32" i="1"/>
  <c r="V32" i="1" s="1"/>
  <c r="U31" i="1"/>
  <c r="V31" i="1" s="1"/>
  <c r="U30" i="1"/>
  <c r="V30" i="1" s="1"/>
  <c r="V29" i="1"/>
  <c r="U27" i="1"/>
  <c r="V27" i="1" s="1"/>
  <c r="U26" i="1"/>
  <c r="V26" i="1" s="1"/>
  <c r="U25" i="1"/>
  <c r="V25" i="1" s="1"/>
  <c r="U24" i="1"/>
  <c r="V24" i="1" s="1"/>
  <c r="U23" i="1"/>
  <c r="V23" i="1" s="1"/>
  <c r="U22" i="1"/>
  <c r="V22" i="1" s="1"/>
  <c r="U21" i="1"/>
  <c r="V21" i="1" s="1"/>
  <c r="T22" i="1"/>
  <c r="T23" i="1"/>
  <c r="T24" i="1"/>
  <c r="T25" i="1"/>
  <c r="T26" i="1"/>
  <c r="T27" i="1"/>
  <c r="T21" i="1"/>
  <c r="Q28" i="1"/>
  <c r="P26" i="1"/>
  <c r="P28" i="1"/>
  <c r="AO40" i="1"/>
  <c r="AN40" i="1"/>
  <c r="AM40" i="1"/>
  <c r="AL40" i="1"/>
  <c r="AK40" i="1"/>
  <c r="AP39" i="1"/>
  <c r="AN39" i="1"/>
  <c r="AM39" i="1"/>
  <c r="AL39" i="1"/>
  <c r="AK39" i="1"/>
  <c r="AP38" i="1"/>
  <c r="AO38" i="1"/>
  <c r="AM38" i="1"/>
  <c r="AL38" i="1"/>
  <c r="AK38" i="1"/>
  <c r="AP37" i="1"/>
  <c r="AO37" i="1"/>
  <c r="AN37" i="1"/>
  <c r="AL37" i="1"/>
  <c r="AK37" i="1"/>
  <c r="AP35" i="1"/>
  <c r="AO35" i="1"/>
  <c r="AN35" i="1"/>
  <c r="AM35" i="1"/>
  <c r="AL35" i="1"/>
  <c r="AP34" i="1"/>
  <c r="AO34" i="1"/>
  <c r="AN34" i="1"/>
  <c r="AM34" i="1"/>
  <c r="AL34" i="1"/>
  <c r="AK34" i="1"/>
  <c r="AP33" i="1"/>
  <c r="AO33" i="1"/>
  <c r="AN33" i="1"/>
  <c r="AM33" i="1"/>
  <c r="AL33" i="1"/>
  <c r="AK33" i="1"/>
  <c r="AP32" i="1"/>
  <c r="AO32" i="1"/>
  <c r="AN32" i="1"/>
  <c r="AM32" i="1"/>
  <c r="AL32" i="1"/>
  <c r="AK32" i="1"/>
  <c r="AP31" i="1"/>
  <c r="AO31" i="1"/>
  <c r="AN31" i="1"/>
  <c r="AM31" i="1"/>
  <c r="AL31" i="1"/>
  <c r="AK31" i="1"/>
  <c r="AP30" i="1"/>
  <c r="AO30" i="1"/>
  <c r="AN30" i="1"/>
  <c r="AM30" i="1"/>
  <c r="AL30" i="1"/>
  <c r="AK30" i="1"/>
  <c r="AP29" i="1"/>
  <c r="AO29" i="1"/>
  <c r="AN29" i="1"/>
  <c r="AM29" i="1"/>
  <c r="AL29" i="1"/>
  <c r="AK29" i="1"/>
  <c r="AP27" i="1"/>
  <c r="AO27" i="1"/>
  <c r="AN27" i="1"/>
  <c r="AM27" i="1"/>
  <c r="AL27" i="1"/>
  <c r="AK27" i="1"/>
  <c r="AP26" i="1"/>
  <c r="AO26" i="1"/>
  <c r="AN26" i="1"/>
  <c r="AM26" i="1"/>
  <c r="AL26" i="1"/>
  <c r="AK26" i="1"/>
  <c r="AP25" i="1"/>
  <c r="AO25" i="1"/>
  <c r="AN25" i="1"/>
  <c r="AM25" i="1"/>
  <c r="AL25" i="1"/>
  <c r="AK25" i="1"/>
  <c r="AP24" i="1"/>
  <c r="AO24" i="1"/>
  <c r="AN24" i="1"/>
  <c r="AM24" i="1"/>
  <c r="AL24" i="1"/>
  <c r="AK24" i="1"/>
  <c r="AP23" i="1"/>
  <c r="AO23" i="1"/>
  <c r="AN23" i="1"/>
  <c r="AM23" i="1"/>
  <c r="AL23" i="1"/>
  <c r="AK23" i="1"/>
  <c r="AP22" i="1"/>
  <c r="AO22" i="1"/>
  <c r="AN22" i="1"/>
  <c r="AM22" i="1"/>
  <c r="AL22" i="1"/>
  <c r="AK22" i="1"/>
  <c r="AP21" i="1"/>
  <c r="AO21" i="1"/>
  <c r="AN21" i="1"/>
  <c r="AM21" i="1"/>
  <c r="AL21" i="1"/>
  <c r="AK21" i="1"/>
  <c r="AJ21" i="1"/>
  <c r="AJ22" i="1"/>
  <c r="AJ23" i="1"/>
  <c r="AJ24" i="1"/>
  <c r="AJ25" i="1"/>
  <c r="AJ26" i="1"/>
  <c r="AJ27" i="1"/>
  <c r="AJ29" i="1"/>
  <c r="AJ30" i="1"/>
  <c r="AJ31" i="1"/>
  <c r="AJ32" i="1"/>
  <c r="AJ33" i="1"/>
  <c r="AJ35" i="1"/>
  <c r="AJ37" i="1"/>
  <c r="AJ38" i="1"/>
  <c r="AJ39" i="1"/>
  <c r="AJ40" i="1"/>
  <c r="X21" i="1"/>
  <c r="Y21" i="1"/>
  <c r="Z21" i="1"/>
  <c r="AA21" i="1"/>
  <c r="AB21" i="1"/>
  <c r="AC21" i="1"/>
  <c r="AD21" i="1"/>
  <c r="AE21" i="1"/>
  <c r="AF21" i="1"/>
  <c r="AG21" i="1"/>
  <c r="AH21" i="1"/>
  <c r="AI21" i="1"/>
  <c r="Y22" i="1"/>
  <c r="Z22" i="1"/>
  <c r="AA22" i="1"/>
  <c r="AB22" i="1"/>
  <c r="AC22" i="1"/>
  <c r="AD22" i="1"/>
  <c r="AE22" i="1"/>
  <c r="AF22" i="1"/>
  <c r="AG22" i="1"/>
  <c r="AH22" i="1"/>
  <c r="AI22" i="1"/>
  <c r="X23" i="1"/>
  <c r="Z23" i="1"/>
  <c r="AA23" i="1"/>
  <c r="AB23" i="1"/>
  <c r="AC23" i="1"/>
  <c r="AD23" i="1"/>
  <c r="AE23" i="1"/>
  <c r="AF23" i="1"/>
  <c r="AG23" i="1"/>
  <c r="AH23" i="1"/>
  <c r="AI23" i="1"/>
  <c r="X24" i="1"/>
  <c r="Y24" i="1"/>
  <c r="AA24" i="1"/>
  <c r="AB24" i="1"/>
  <c r="AC24" i="1"/>
  <c r="AD24" i="1"/>
  <c r="AE24" i="1"/>
  <c r="AF24" i="1"/>
  <c r="AG24" i="1"/>
  <c r="AH24" i="1"/>
  <c r="AI24" i="1"/>
  <c r="X25" i="1"/>
  <c r="Y25" i="1"/>
  <c r="Z25" i="1"/>
  <c r="AB25" i="1"/>
  <c r="AC25" i="1"/>
  <c r="AD25" i="1"/>
  <c r="AE25" i="1"/>
  <c r="AF25" i="1"/>
  <c r="AG25" i="1"/>
  <c r="AH25" i="1"/>
  <c r="AI25" i="1"/>
  <c r="X26" i="1"/>
  <c r="Y26" i="1"/>
  <c r="Z26" i="1"/>
  <c r="AA26" i="1"/>
  <c r="AC26" i="1"/>
  <c r="AD26" i="1"/>
  <c r="AE26" i="1"/>
  <c r="AF26" i="1"/>
  <c r="AG26" i="1"/>
  <c r="AH26" i="1"/>
  <c r="AI26" i="1"/>
  <c r="X27" i="1"/>
  <c r="Y27" i="1"/>
  <c r="Z27" i="1"/>
  <c r="AA27" i="1"/>
  <c r="AB27" i="1"/>
  <c r="AD27" i="1"/>
  <c r="AE27" i="1"/>
  <c r="AF27" i="1"/>
  <c r="AG27" i="1"/>
  <c r="AH27" i="1"/>
  <c r="AI27" i="1"/>
  <c r="X29" i="1"/>
  <c r="Y29" i="1"/>
  <c r="Z29" i="1"/>
  <c r="AA29" i="1"/>
  <c r="AB29" i="1"/>
  <c r="AC29" i="1"/>
  <c r="AD29" i="1"/>
  <c r="AF29" i="1"/>
  <c r="AG29" i="1"/>
  <c r="AH29" i="1"/>
  <c r="AI29" i="1"/>
  <c r="X30" i="1"/>
  <c r="Y30" i="1"/>
  <c r="Z30" i="1"/>
  <c r="AA30" i="1"/>
  <c r="AB30" i="1"/>
  <c r="AC30" i="1"/>
  <c r="AD30" i="1"/>
  <c r="AE30" i="1"/>
  <c r="AG30" i="1"/>
  <c r="AH30" i="1"/>
  <c r="AI30" i="1"/>
  <c r="X31" i="1"/>
  <c r="Y31" i="1"/>
  <c r="Z31" i="1"/>
  <c r="AA31" i="1"/>
  <c r="AB31" i="1"/>
  <c r="AC31" i="1"/>
  <c r="AD31" i="1"/>
  <c r="AE31" i="1"/>
  <c r="AF31" i="1"/>
  <c r="AH31" i="1"/>
  <c r="AI31" i="1"/>
  <c r="X32" i="1"/>
  <c r="Y32" i="1"/>
  <c r="Z32" i="1"/>
  <c r="AA32" i="1"/>
  <c r="AB32" i="1"/>
  <c r="AC32" i="1"/>
  <c r="AD32" i="1"/>
  <c r="AE32" i="1"/>
  <c r="AF32" i="1"/>
  <c r="AG32" i="1"/>
  <c r="AI32" i="1"/>
  <c r="X33" i="1"/>
  <c r="Y33" i="1"/>
  <c r="Z33" i="1"/>
  <c r="AA33" i="1"/>
  <c r="AB33" i="1"/>
  <c r="AC33" i="1"/>
  <c r="AD33" i="1"/>
  <c r="AE33" i="1"/>
  <c r="AF33" i="1"/>
  <c r="AG33" i="1"/>
  <c r="AH33" i="1"/>
  <c r="X34" i="1"/>
  <c r="Y34" i="1"/>
  <c r="Z34" i="1"/>
  <c r="AA34" i="1"/>
  <c r="AB34" i="1"/>
  <c r="AC34" i="1"/>
  <c r="AD34" i="1"/>
  <c r="AE34" i="1"/>
  <c r="AF34" i="1"/>
  <c r="AG34" i="1"/>
  <c r="AH34" i="1"/>
  <c r="AI34" i="1"/>
  <c r="X35" i="1"/>
  <c r="Y35" i="1"/>
  <c r="Z35" i="1"/>
  <c r="AA35" i="1"/>
  <c r="AB35" i="1"/>
  <c r="AC35" i="1"/>
  <c r="AD35" i="1"/>
  <c r="AE35" i="1"/>
  <c r="AF35" i="1"/>
  <c r="AG35" i="1"/>
  <c r="AH35" i="1"/>
  <c r="AI35" i="1"/>
  <c r="X37" i="1"/>
  <c r="Y37" i="1"/>
  <c r="Z37" i="1"/>
  <c r="AA37" i="1"/>
  <c r="AB37" i="1"/>
  <c r="AC37" i="1"/>
  <c r="AD37" i="1"/>
  <c r="AE37" i="1"/>
  <c r="AF37" i="1"/>
  <c r="AG37" i="1"/>
  <c r="AH37" i="1"/>
  <c r="AI37" i="1"/>
  <c r="X38" i="1"/>
  <c r="Y38" i="1"/>
  <c r="Z38" i="1"/>
  <c r="AA38" i="1"/>
  <c r="AB38" i="1"/>
  <c r="AC38" i="1"/>
  <c r="AD38" i="1"/>
  <c r="AE38" i="1"/>
  <c r="AF38" i="1"/>
  <c r="AG38" i="1"/>
  <c r="AH38" i="1"/>
  <c r="AI38" i="1"/>
  <c r="X39" i="1"/>
  <c r="Y39" i="1"/>
  <c r="Z39" i="1"/>
  <c r="AA39" i="1"/>
  <c r="AB39" i="1"/>
  <c r="AC39" i="1"/>
  <c r="AD39" i="1"/>
  <c r="AE39" i="1"/>
  <c r="AF39" i="1"/>
  <c r="AG39" i="1"/>
  <c r="AH39" i="1"/>
  <c r="AI39" i="1"/>
  <c r="X40" i="1"/>
  <c r="Y40" i="1"/>
  <c r="Z40" i="1"/>
  <c r="AA40" i="1"/>
  <c r="AB40" i="1"/>
  <c r="AC40" i="1"/>
  <c r="AD40" i="1"/>
  <c r="AE40" i="1"/>
  <c r="AF40" i="1"/>
  <c r="AG40" i="1"/>
  <c r="AH40" i="1"/>
  <c r="AI40" i="1"/>
  <c r="W22" i="1"/>
  <c r="W23" i="1"/>
  <c r="W24" i="1"/>
  <c r="W25" i="1"/>
  <c r="W26" i="1"/>
  <c r="W27" i="1"/>
  <c r="W29" i="1"/>
  <c r="W30" i="1"/>
  <c r="W31" i="1"/>
  <c r="W32" i="1"/>
  <c r="W33" i="1"/>
  <c r="W34" i="1"/>
  <c r="W35" i="1"/>
  <c r="W37" i="1"/>
  <c r="W38" i="1"/>
  <c r="W39" i="1"/>
  <c r="W40" i="1"/>
  <c r="P44" i="1"/>
  <c r="Q44" i="1" s="1"/>
  <c r="R44" i="1" s="1"/>
  <c r="S44" i="1" s="1"/>
  <c r="T44" i="1" s="1"/>
  <c r="U44" i="1" s="1"/>
  <c r="V44" i="1" s="1"/>
  <c r="W44" i="1" s="1"/>
  <c r="X44" i="1" s="1"/>
  <c r="Y44" i="1" s="1"/>
  <c r="Z44" i="1" s="1"/>
  <c r="AA44" i="1" s="1"/>
  <c r="AB44" i="1" s="1"/>
  <c r="AC44" i="1" s="1"/>
  <c r="AD44" i="1" s="1"/>
  <c r="AE44" i="1" s="1"/>
  <c r="AF44" i="1" s="1"/>
  <c r="AG44" i="1" s="1"/>
  <c r="AH44" i="1" s="1"/>
  <c r="AI44" i="1" s="1"/>
  <c r="AJ44" i="1" s="1"/>
  <c r="AK44" i="1" s="1"/>
  <c r="AL44" i="1" s="1"/>
  <c r="AM44" i="1" s="1"/>
  <c r="AN44" i="1" s="1"/>
  <c r="AO44" i="1" s="1"/>
  <c r="AP44" i="1" s="1"/>
  <c r="C100" i="1"/>
  <c r="C95" i="1"/>
  <c r="C96" i="1" s="1"/>
  <c r="C86" i="1"/>
  <c r="B110" i="1"/>
  <c r="B111" i="1"/>
  <c r="B112" i="1"/>
  <c r="B113" i="1"/>
  <c r="B114" i="1"/>
  <c r="C116" i="1"/>
  <c r="C119" i="1"/>
  <c r="C74" i="1"/>
  <c r="O76" i="1" s="1"/>
  <c r="C69" i="1"/>
  <c r="C68" i="1" s="1"/>
  <c r="C59" i="1"/>
  <c r="N35" i="1"/>
  <c r="D19" i="1"/>
  <c r="E19" i="1" s="1"/>
  <c r="F19" i="1" s="1"/>
  <c r="G19" i="1" s="1"/>
  <c r="H19" i="1" s="1"/>
  <c r="S88" i="1" s="1"/>
  <c r="C13" i="1"/>
  <c r="N90" i="1" s="1"/>
  <c r="N39" i="1"/>
  <c r="N38" i="1"/>
  <c r="C90" i="1" s="1"/>
  <c r="N37" i="1"/>
  <c r="N34" i="1"/>
  <c r="H117" i="1" s="1"/>
  <c r="N33" i="1"/>
  <c r="H114" i="1" s="1"/>
  <c r="N32" i="1"/>
  <c r="H113" i="1" s="1"/>
  <c r="N31" i="1"/>
  <c r="H112" i="1" s="1"/>
  <c r="N30" i="1"/>
  <c r="H111" i="1" s="1"/>
  <c r="N29" i="1"/>
  <c r="H110" i="1" s="1"/>
  <c r="N27" i="1"/>
  <c r="N26" i="1"/>
  <c r="N25" i="1"/>
  <c r="N24" i="1"/>
  <c r="E8" i="1" s="1"/>
  <c r="N23" i="1"/>
  <c r="I10" i="1" s="1"/>
  <c r="N22" i="1"/>
  <c r="I8" i="1" s="1"/>
  <c r="N21" i="1"/>
  <c r="I7" i="1" s="1"/>
  <c r="M30" i="1"/>
  <c r="M59" i="1" s="1"/>
  <c r="M31" i="1"/>
  <c r="M60" i="1" s="1"/>
  <c r="M32" i="1"/>
  <c r="M61" i="1" s="1"/>
  <c r="M33" i="1"/>
  <c r="M62" i="1" s="1"/>
  <c r="M29" i="1"/>
  <c r="M58" i="1" s="1"/>
  <c r="C36" i="1"/>
  <c r="C35" i="1"/>
  <c r="C34" i="1"/>
  <c r="C33" i="1"/>
  <c r="C32" i="1"/>
  <c r="C21" i="1"/>
  <c r="C27" i="1" s="1"/>
  <c r="C28" i="1" s="1"/>
  <c r="B7" i="1"/>
  <c r="B8" i="1" s="1"/>
  <c r="B9" i="1" s="1"/>
  <c r="B10" i="1" s="1"/>
  <c r="B11" i="1" s="1"/>
  <c r="D5" i="1"/>
  <c r="E5" i="1" s="1"/>
  <c r="F5" i="1" s="1"/>
  <c r="G5" i="1" s="1"/>
  <c r="H5" i="1" s="1"/>
  <c r="N98" i="1" l="1"/>
  <c r="O137" i="1"/>
  <c r="P137" i="1" s="1"/>
  <c r="Q137" i="1" s="1"/>
  <c r="R88" i="1"/>
  <c r="R113" i="1" s="1"/>
  <c r="R130" i="1" s="1"/>
  <c r="R134" i="1" s="1"/>
  <c r="O74" i="1"/>
  <c r="O75" i="1"/>
  <c r="O73" i="1"/>
  <c r="P81" i="1"/>
  <c r="O135" i="1"/>
  <c r="P135" i="1" s="1"/>
  <c r="Q135" i="1" s="1"/>
  <c r="Q88" i="1"/>
  <c r="Q113" i="1" s="1"/>
  <c r="Q130" i="1" s="1"/>
  <c r="Q134" i="1" s="1"/>
  <c r="P88" i="1"/>
  <c r="P113" i="1" s="1"/>
  <c r="P130" i="1" s="1"/>
  <c r="P134" i="1" s="1"/>
  <c r="O88" i="1"/>
  <c r="O113" i="1" s="1"/>
  <c r="O130" i="1" s="1"/>
  <c r="O134" i="1" s="1"/>
  <c r="N89" i="1"/>
  <c r="Z51" i="1" a="1"/>
  <c r="X56" i="1" s="1"/>
  <c r="N65" i="1"/>
  <c r="P50" i="1" a="1"/>
  <c r="C102" i="1"/>
  <c r="C94" i="1"/>
  <c r="C110" i="1"/>
  <c r="D110" i="1" s="1"/>
  <c r="C114" i="1"/>
  <c r="D114" i="1" s="1"/>
  <c r="C113" i="1"/>
  <c r="D113" i="1" s="1"/>
  <c r="C111" i="1"/>
  <c r="D111" i="1" s="1"/>
  <c r="C70" i="1"/>
  <c r="C65" i="1" s="1"/>
  <c r="C75" i="1" s="1"/>
  <c r="C76" i="1"/>
  <c r="C120" i="1"/>
  <c r="C112" i="1"/>
  <c r="D112" i="1" s="1"/>
  <c r="C117" i="1"/>
  <c r="D117" i="1" s="1"/>
  <c r="E117" i="1" s="1"/>
  <c r="F117" i="1" s="1"/>
  <c r="G117" i="1" s="1"/>
  <c r="D28" i="1"/>
  <c r="E28" i="1" s="1"/>
  <c r="F28" i="1" s="1"/>
  <c r="G28" i="1" s="1"/>
  <c r="C24" i="1"/>
  <c r="N100" i="1" s="1"/>
  <c r="D13" i="1"/>
  <c r="O93" i="1" s="1"/>
  <c r="I11" i="1"/>
  <c r="I9" i="1"/>
  <c r="C37" i="1"/>
  <c r="C38" i="1" s="1"/>
  <c r="N103" i="1" s="1"/>
  <c r="F8" i="1"/>
  <c r="G8" i="1" s="1"/>
  <c r="H8" i="1" s="1"/>
  <c r="H11" i="1"/>
  <c r="F9" i="1"/>
  <c r="G9" i="1" s="1"/>
  <c r="H9" i="1" s="1"/>
  <c r="G10" i="1"/>
  <c r="H10" i="1" s="1"/>
  <c r="D7" i="1"/>
  <c r="C6" i="1"/>
  <c r="D6" i="1" s="1"/>
  <c r="N20" i="1"/>
  <c r="Q81" i="1" l="1"/>
  <c r="P83" i="1"/>
  <c r="E13" i="1"/>
  <c r="O90" i="1"/>
  <c r="X54" i="1"/>
  <c r="X55" i="1"/>
  <c r="X53" i="1"/>
  <c r="Z51" i="1"/>
  <c r="X51" i="1" s="1"/>
  <c r="K12" i="1"/>
  <c r="L12" i="1" s="1"/>
  <c r="Q69" i="1"/>
  <c r="Q68" i="1"/>
  <c r="Q60" i="1"/>
  <c r="Q52" i="1"/>
  <c r="Q67" i="1"/>
  <c r="Q59" i="1"/>
  <c r="Q51" i="1"/>
  <c r="Q58" i="1"/>
  <c r="Q55" i="1"/>
  <c r="Q65" i="1"/>
  <c r="Q57" i="1"/>
  <c r="Q64" i="1"/>
  <c r="Q56" i="1"/>
  <c r="Q63" i="1"/>
  <c r="Q62" i="1"/>
  <c r="Q54" i="1"/>
  <c r="Q61" i="1"/>
  <c r="Q53" i="1"/>
  <c r="Q66" i="1"/>
  <c r="P50" i="1"/>
  <c r="Q50" i="1" s="1"/>
  <c r="E7" i="1"/>
  <c r="F7" i="1" s="1"/>
  <c r="G7" i="1" s="1"/>
  <c r="H7" i="1" s="1"/>
  <c r="C77" i="1"/>
  <c r="E113" i="1"/>
  <c r="E112" i="1"/>
  <c r="E111" i="1"/>
  <c r="E114" i="1"/>
  <c r="E110" i="1"/>
  <c r="D12" i="1"/>
  <c r="D21" i="1" s="1"/>
  <c r="O98" i="1" s="1"/>
  <c r="E6" i="1"/>
  <c r="C43" i="1"/>
  <c r="C39" i="1"/>
  <c r="N104" i="1" s="1"/>
  <c r="P90" i="1" l="1"/>
  <c r="P93" i="1"/>
  <c r="R81" i="1"/>
  <c r="Q83" i="1"/>
  <c r="F13" i="1"/>
  <c r="D45" i="1"/>
  <c r="O89" i="1"/>
  <c r="X52" i="1"/>
  <c r="D119" i="1"/>
  <c r="D46" i="1" s="1"/>
  <c r="E12" i="1"/>
  <c r="E21" i="1" s="1"/>
  <c r="P98" i="1" s="1"/>
  <c r="C44" i="1"/>
  <c r="C47" i="1" s="1"/>
  <c r="D116" i="1"/>
  <c r="F110" i="1"/>
  <c r="F113" i="1"/>
  <c r="F114" i="1"/>
  <c r="F111" i="1"/>
  <c r="F112" i="1"/>
  <c r="D27" i="1"/>
  <c r="D29" i="1" s="1"/>
  <c r="D36" i="1"/>
  <c r="D33" i="1"/>
  <c r="D34" i="1"/>
  <c r="D32" i="1"/>
  <c r="D35" i="1"/>
  <c r="D24" i="1"/>
  <c r="O100" i="1" s="1"/>
  <c r="D22" i="1"/>
  <c r="O99" i="1" s="1"/>
  <c r="F6" i="1"/>
  <c r="F12" i="1" s="1"/>
  <c r="F21" i="1" s="1"/>
  <c r="Q98" i="1" s="1"/>
  <c r="G13" i="1" l="1"/>
  <c r="R93" i="1" s="1"/>
  <c r="Q93" i="1"/>
  <c r="C49" i="1"/>
  <c r="N107" i="1" s="1"/>
  <c r="N106" i="1"/>
  <c r="S81" i="1"/>
  <c r="R83" i="1"/>
  <c r="Q90" i="1"/>
  <c r="F119" i="1"/>
  <c r="Q89" i="1"/>
  <c r="E119" i="1"/>
  <c r="E46" i="1" s="1"/>
  <c r="P89" i="1"/>
  <c r="D25" i="1"/>
  <c r="E24" i="1"/>
  <c r="P100" i="1" s="1"/>
  <c r="E33" i="1"/>
  <c r="E116" i="1"/>
  <c r="E27" i="1"/>
  <c r="E29" i="1" s="1"/>
  <c r="E36" i="1"/>
  <c r="E45" i="1"/>
  <c r="E35" i="1"/>
  <c r="E22" i="1"/>
  <c r="P99" i="1" s="1"/>
  <c r="E34" i="1"/>
  <c r="E32" i="1"/>
  <c r="F45" i="1"/>
  <c r="F27" i="1"/>
  <c r="F116" i="1"/>
  <c r="G114" i="1"/>
  <c r="F36" i="1"/>
  <c r="G111" i="1"/>
  <c r="F33" i="1"/>
  <c r="G113" i="1"/>
  <c r="F35" i="1"/>
  <c r="G112" i="1"/>
  <c r="F34" i="1"/>
  <c r="G110" i="1"/>
  <c r="F32" i="1"/>
  <c r="D37" i="1"/>
  <c r="D38" i="1" s="1"/>
  <c r="F24" i="1"/>
  <c r="Q100" i="1" s="1"/>
  <c r="F22" i="1"/>
  <c r="Q99" i="1" s="1"/>
  <c r="G6" i="1"/>
  <c r="G12" i="1" s="1"/>
  <c r="G21" i="1" s="1"/>
  <c r="R98" i="1" s="1"/>
  <c r="R90" i="1" l="1"/>
  <c r="H13" i="1"/>
  <c r="S90" i="1" s="1"/>
  <c r="O101" i="1"/>
  <c r="O92" i="1"/>
  <c r="D43" i="1"/>
  <c r="D44" i="1" s="1"/>
  <c r="D47" i="1" s="1"/>
  <c r="O106" i="1" s="1"/>
  <c r="O103" i="1"/>
  <c r="S83" i="1"/>
  <c r="N85" i="1" s="1"/>
  <c r="F46" i="1"/>
  <c r="G119" i="1"/>
  <c r="G46" i="1" s="1"/>
  <c r="R89" i="1"/>
  <c r="E25" i="1"/>
  <c r="F25" i="1"/>
  <c r="E37" i="1"/>
  <c r="E38" i="1" s="1"/>
  <c r="F29" i="1"/>
  <c r="G45" i="1"/>
  <c r="G27" i="1"/>
  <c r="G29" i="1" s="1"/>
  <c r="G116" i="1"/>
  <c r="G34" i="1"/>
  <c r="G35" i="1"/>
  <c r="G33" i="1"/>
  <c r="F37" i="1"/>
  <c r="F38" i="1" s="1"/>
  <c r="G32" i="1"/>
  <c r="G36" i="1"/>
  <c r="D39" i="1"/>
  <c r="O104" i="1" s="1"/>
  <c r="D40" i="1"/>
  <c r="G24" i="1"/>
  <c r="R100" i="1" s="1"/>
  <c r="G22" i="1"/>
  <c r="R99" i="1" s="1"/>
  <c r="H6" i="1"/>
  <c r="H12" i="1" s="1"/>
  <c r="H21" i="1" s="1"/>
  <c r="S93" i="1" l="1"/>
  <c r="Q101" i="1"/>
  <c r="Q92" i="1"/>
  <c r="P101" i="1"/>
  <c r="P92" i="1"/>
  <c r="F43" i="1"/>
  <c r="F44" i="1" s="1"/>
  <c r="F47" i="1" s="1"/>
  <c r="Q106" i="1" s="1"/>
  <c r="Q103" i="1"/>
  <c r="E43" i="1"/>
  <c r="E44" i="1" s="1"/>
  <c r="E47" i="1" s="1"/>
  <c r="P106" i="1" s="1"/>
  <c r="P103" i="1"/>
  <c r="S89" i="1"/>
  <c r="S98" i="1"/>
  <c r="G25" i="1"/>
  <c r="H119" i="1"/>
  <c r="H46" i="1" s="1"/>
  <c r="I21" i="1"/>
  <c r="E39" i="1"/>
  <c r="P104" i="1" s="1"/>
  <c r="E40" i="1"/>
  <c r="D48" i="1"/>
  <c r="D49" i="1"/>
  <c r="O107" i="1" s="1"/>
  <c r="H45" i="1"/>
  <c r="H116" i="1"/>
  <c r="F39" i="1"/>
  <c r="Q104" i="1" s="1"/>
  <c r="G37" i="1"/>
  <c r="G38" i="1" s="1"/>
  <c r="F40" i="1"/>
  <c r="H27" i="1"/>
  <c r="H33" i="1"/>
  <c r="H35" i="1"/>
  <c r="H36" i="1"/>
  <c r="H32" i="1"/>
  <c r="H34" i="1"/>
  <c r="H24" i="1"/>
  <c r="S100" i="1" s="1"/>
  <c r="H22" i="1"/>
  <c r="S99" i="1" s="1"/>
  <c r="E49" i="1" l="1"/>
  <c r="P107" i="1" s="1"/>
  <c r="R101" i="1"/>
  <c r="R92" i="1"/>
  <c r="E48" i="1"/>
  <c r="G43" i="1"/>
  <c r="G44" i="1" s="1"/>
  <c r="G47" i="1" s="1"/>
  <c r="R106" i="1" s="1"/>
  <c r="R103" i="1"/>
  <c r="H25" i="1"/>
  <c r="H29" i="1"/>
  <c r="I27" i="1"/>
  <c r="F48" i="1"/>
  <c r="F49" i="1"/>
  <c r="Q107" i="1" s="1"/>
  <c r="G39" i="1"/>
  <c r="R104" i="1" s="1"/>
  <c r="G40" i="1"/>
  <c r="H37" i="1"/>
  <c r="H38" i="1" s="1"/>
  <c r="S101" i="1" l="1"/>
  <c r="S92" i="1"/>
  <c r="I38" i="1"/>
  <c r="S103" i="1"/>
  <c r="H43" i="1"/>
  <c r="H44" i="1" s="1"/>
  <c r="H47" i="1" s="1"/>
  <c r="G48" i="1"/>
  <c r="G49" i="1"/>
  <c r="R107" i="1" s="1"/>
  <c r="H39" i="1"/>
  <c r="S104" i="1" s="1"/>
  <c r="H40" i="1"/>
  <c r="I47" i="1" l="1"/>
  <c r="S106" i="1"/>
  <c r="C56" i="1"/>
  <c r="C83" i="1"/>
  <c r="H48" i="1"/>
  <c r="H49" i="1"/>
  <c r="S107" i="1" s="1"/>
  <c r="N40" i="1"/>
  <c r="C57" i="1" s="1"/>
  <c r="C58" i="1" l="1"/>
  <c r="C50" i="1" s="1"/>
  <c r="C84" i="1"/>
  <c r="C85" i="1" s="1"/>
  <c r="C88" i="1" s="1"/>
  <c r="C91" i="1" s="1"/>
  <c r="C101" i="1" s="1"/>
  <c r="C103" i="1" s="1"/>
  <c r="G50" i="1" l="1"/>
  <c r="C61" i="1"/>
  <c r="C63" i="1" s="1"/>
  <c r="N41" i="1" s="1"/>
  <c r="N45" i="1" s="1"/>
  <c r="H50" i="1"/>
  <c r="F50" i="1"/>
  <c r="E50" i="1"/>
  <c r="D50" i="1"/>
  <c r="N42" i="1"/>
  <c r="N46" i="1" s="1"/>
  <c r="T40" i="1"/>
  <c r="R40" i="1"/>
  <c r="U40" i="1"/>
  <c r="S40" i="1"/>
  <c r="C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<sst xmlns="http://schemas.openxmlformats.org/spreadsheetml/2006/main" count="158" uniqueCount="105">
  <si>
    <t>x</t>
  </si>
  <si>
    <t>SSSG</t>
  </si>
  <si>
    <t>Year</t>
  </si>
  <si>
    <t>Financials</t>
  </si>
  <si>
    <t>Revenue</t>
  </si>
  <si>
    <t>Stores</t>
  </si>
  <si>
    <t>Revenue / Store</t>
  </si>
  <si>
    <t>Growth %</t>
  </si>
  <si>
    <t>Gross Profit</t>
  </si>
  <si>
    <t>Gross Margin</t>
  </si>
  <si>
    <t>Operating Expenses:</t>
  </si>
  <si>
    <t>Staff Costs</t>
  </si>
  <si>
    <t>Property Rentals</t>
  </si>
  <si>
    <t>Utilities Expense</t>
  </si>
  <si>
    <t>Traveling Expenses</t>
  </si>
  <si>
    <t>Other Expenses</t>
  </si>
  <si>
    <t>Total Expenses</t>
  </si>
  <si>
    <t>EBITDA</t>
  </si>
  <si>
    <t>Margin</t>
  </si>
  <si>
    <t xml:space="preserve">Growth </t>
  </si>
  <si>
    <t>Cash Flow</t>
  </si>
  <si>
    <t>Taxes</t>
  </si>
  <si>
    <t>Capex</t>
  </si>
  <si>
    <t>NWC</t>
  </si>
  <si>
    <t>FCF</t>
  </si>
  <si>
    <t>Yield</t>
  </si>
  <si>
    <t>Conversion</t>
  </si>
  <si>
    <t xml:space="preserve">Assumptions </t>
  </si>
  <si>
    <t>Case</t>
  </si>
  <si>
    <t>Item</t>
  </si>
  <si>
    <t>Base</t>
  </si>
  <si>
    <t>Upside</t>
  </si>
  <si>
    <t>Downside</t>
  </si>
  <si>
    <t>Existing Stores</t>
  </si>
  <si>
    <t>De Novo</t>
  </si>
  <si>
    <t>Margins</t>
  </si>
  <si>
    <t>New Stores ST</t>
  </si>
  <si>
    <t>New Stores MD</t>
  </si>
  <si>
    <t>New Stores LT</t>
  </si>
  <si>
    <t>Beginning Revenue / Store</t>
  </si>
  <si>
    <t>SSSG MD</t>
  </si>
  <si>
    <t>SSSG LT</t>
  </si>
  <si>
    <t>SSSG ST</t>
  </si>
  <si>
    <t>Depreication</t>
  </si>
  <si>
    <t>Discount Rate</t>
  </si>
  <si>
    <t>Exit Multiple</t>
  </si>
  <si>
    <t>D&amp;A</t>
  </si>
  <si>
    <t>%</t>
  </si>
  <si>
    <t>Maintennace Capex</t>
  </si>
  <si>
    <t>Capex / New Store</t>
  </si>
  <si>
    <t>Capitlization</t>
  </si>
  <si>
    <t>Capitlization Implied IPO Discount</t>
  </si>
  <si>
    <t>PV FCF</t>
  </si>
  <si>
    <t>PV Terminal Value</t>
  </si>
  <si>
    <t>Enterprise Value</t>
  </si>
  <si>
    <t>(-) Debt</t>
  </si>
  <si>
    <t>(+) Cash</t>
  </si>
  <si>
    <t>Pre Money Equity Value</t>
  </si>
  <si>
    <t>IPO Pricing Discount</t>
  </si>
  <si>
    <t>IPO Discount Rate</t>
  </si>
  <si>
    <t>Implied IPO Discount Rate</t>
  </si>
  <si>
    <t>Share Price @ 20% Discount</t>
  </si>
  <si>
    <t>Pre Money Equity @ Pricing</t>
  </si>
  <si>
    <t>New Shares</t>
  </si>
  <si>
    <t>Other Shares</t>
  </si>
  <si>
    <t>Total Shares</t>
  </si>
  <si>
    <t>Fees</t>
  </si>
  <si>
    <t>Post Money Equity @ Pricing</t>
  </si>
  <si>
    <t>IPO Proceeds</t>
  </si>
  <si>
    <t>% Company Sold</t>
  </si>
  <si>
    <t>S/O</t>
  </si>
  <si>
    <t>Implied IPO Share Price</t>
  </si>
  <si>
    <t>Sens</t>
  </si>
  <si>
    <t>Variable</t>
  </si>
  <si>
    <t>Step</t>
  </si>
  <si>
    <t>Impact</t>
  </si>
  <si>
    <t>New Stores</t>
  </si>
  <si>
    <t>IPO Proceeds Breakdown</t>
  </si>
  <si>
    <t>International</t>
  </si>
  <si>
    <t>Food &amp; Safety</t>
  </si>
  <si>
    <t>Debt &amp; Working Capital</t>
  </si>
  <si>
    <t xml:space="preserve">                         </t>
  </si>
  <si>
    <t>Total</t>
  </si>
  <si>
    <t>New Store Costs</t>
  </si>
  <si>
    <t>Inc.</t>
  </si>
  <si>
    <t>CAGR</t>
  </si>
  <si>
    <t>Margins Contraction</t>
  </si>
  <si>
    <t>Base Case</t>
  </si>
  <si>
    <t>Multiple Contraction</t>
  </si>
  <si>
    <t>Terminal Value</t>
  </si>
  <si>
    <t>IRR</t>
  </si>
  <si>
    <t>Hotpot</t>
  </si>
  <si>
    <t>breakdown of Chiense Cuisines</t>
  </si>
  <si>
    <t>Others</t>
  </si>
  <si>
    <t>Deep Dive</t>
  </si>
  <si>
    <t>Tier 1 Cities</t>
  </si>
  <si>
    <t>Lower Tier Cities and Rural Areas</t>
  </si>
  <si>
    <t>Premium Market</t>
  </si>
  <si>
    <t>Mid To High End</t>
  </si>
  <si>
    <t>Mass Market</t>
  </si>
  <si>
    <t>Covnersion</t>
  </si>
  <si>
    <t>Capitlization Implied 20% IPO Discount</t>
  </si>
  <si>
    <t>New Stores Growth</t>
  </si>
  <si>
    <t>SSSG Existing</t>
  </si>
  <si>
    <t>Total Stores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</si>
</sst>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yyyy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0.0"/>
    <numFmt numFmtId="169" formatCode="_(* #,##0.0_);_(* \(#,##0.0\);_(* &quot;-&quot;?_);_(@_)"/>
    <numFmt numFmtId="170" formatCode="0.0\x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u val="singleAccounting"/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color theme="0"/>
      <name val="Arial"/>
      <family val="2"/>
    </font>
    <font>
      <sz val="10"/>
      <color theme="1"/>
      <name val="Playbill"/>
      <family val="5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1C9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2" borderId="0" xfId="0" applyFont="1" applyFill="1"/>
    <xf numFmtId="164" fontId="2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5" fillId="0" borderId="0" xfId="0" applyFont="1"/>
    <xf numFmtId="165" fontId="2" fillId="0" borderId="0" xfId="1" applyNumberFormat="1" applyFont="1"/>
    <xf numFmtId="166" fontId="2" fillId="0" borderId="0" xfId="1" applyNumberFormat="1" applyFont="1"/>
    <xf numFmtId="0" fontId="2" fillId="0" borderId="0" xfId="0" applyFont="1" applyAlignment="1">
      <alignment horizontal="left" indent="1"/>
    </xf>
    <xf numFmtId="9" fontId="2" fillId="0" borderId="0" xfId="2" applyFont="1"/>
    <xf numFmtId="167" fontId="2" fillId="0" borderId="0" xfId="2" applyNumberFormat="1" applyFont="1"/>
    <xf numFmtId="0" fontId="2" fillId="0" borderId="1" xfId="0" applyFont="1" applyBorder="1"/>
    <xf numFmtId="0" fontId="6" fillId="0" borderId="1" xfId="0" applyFont="1" applyBorder="1"/>
    <xf numFmtId="166" fontId="2" fillId="0" borderId="0" xfId="0" applyNumberFormat="1" applyFont="1"/>
    <xf numFmtId="43" fontId="2" fillId="0" borderId="0" xfId="0" applyNumberFormat="1" applyFont="1"/>
    <xf numFmtId="0" fontId="6" fillId="0" borderId="2" xfId="0" applyFont="1" applyBorder="1"/>
    <xf numFmtId="0" fontId="6" fillId="0" borderId="1" xfId="0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9" fontId="2" fillId="0" borderId="0" xfId="0" applyNumberFormat="1" applyFont="1"/>
    <xf numFmtId="167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167" fontId="2" fillId="0" borderId="0" xfId="2" applyNumberFormat="1" applyFont="1" applyFill="1"/>
    <xf numFmtId="0" fontId="6" fillId="0" borderId="0" xfId="0" applyFont="1"/>
    <xf numFmtId="169" fontId="2" fillId="0" borderId="0" xfId="0" applyNumberFormat="1" applyFont="1"/>
    <xf numFmtId="166" fontId="5" fillId="0" borderId="0" xfId="1" applyNumberFormat="1" applyFont="1"/>
    <xf numFmtId="166" fontId="7" fillId="0" borderId="0" xfId="0" applyNumberFormat="1" applyFont="1"/>
    <xf numFmtId="166" fontId="6" fillId="0" borderId="1" xfId="0" applyNumberFormat="1" applyFont="1" applyBorder="1"/>
    <xf numFmtId="0" fontId="6" fillId="0" borderId="3" xfId="0" applyFont="1" applyBorder="1"/>
    <xf numFmtId="0" fontId="6" fillId="3" borderId="4" xfId="0" applyFont="1" applyFill="1" applyBorder="1"/>
    <xf numFmtId="166" fontId="6" fillId="3" borderId="4" xfId="0" applyNumberFormat="1" applyFont="1" applyFill="1" applyBorder="1"/>
    <xf numFmtId="0" fontId="6" fillId="3" borderId="5" xfId="0" applyFont="1" applyFill="1" applyBorder="1"/>
    <xf numFmtId="166" fontId="6" fillId="3" borderId="5" xfId="0" applyNumberFormat="1" applyFont="1" applyFill="1" applyBorder="1"/>
    <xf numFmtId="0" fontId="2" fillId="3" borderId="0" xfId="0" applyFont="1" applyFill="1"/>
    <xf numFmtId="166" fontId="6" fillId="3" borderId="5" xfId="1" applyNumberFormat="1" applyFont="1" applyFill="1" applyBorder="1"/>
    <xf numFmtId="0" fontId="6" fillId="4" borderId="4" xfId="0" applyFont="1" applyFill="1" applyBorder="1"/>
    <xf numFmtId="166" fontId="8" fillId="4" borderId="4" xfId="0" applyNumberFormat="1" applyFont="1" applyFill="1" applyBorder="1"/>
    <xf numFmtId="0" fontId="2" fillId="4" borderId="0" xfId="0" applyFont="1" applyFill="1"/>
    <xf numFmtId="166" fontId="6" fillId="0" borderId="3" xfId="1" applyNumberFormat="1" applyFont="1" applyBorder="1"/>
    <xf numFmtId="9" fontId="5" fillId="0" borderId="0" xfId="0" applyNumberFormat="1" applyFont="1"/>
    <xf numFmtId="1" fontId="5" fillId="0" borderId="0" xfId="0" applyNumberFormat="1" applyFont="1"/>
    <xf numFmtId="0" fontId="6" fillId="3" borderId="3" xfId="0" applyFont="1" applyFill="1" applyBorder="1"/>
    <xf numFmtId="166" fontId="6" fillId="3" borderId="3" xfId="0" applyNumberFormat="1" applyFont="1" applyFill="1" applyBorder="1"/>
    <xf numFmtId="166" fontId="2" fillId="3" borderId="0" xfId="0" applyNumberFormat="1" applyFont="1" applyFill="1"/>
    <xf numFmtId="165" fontId="6" fillId="3" borderId="3" xfId="1" applyNumberFormat="1" applyFont="1" applyFill="1" applyBorder="1"/>
    <xf numFmtId="0" fontId="6" fillId="3" borderId="0" xfId="0" applyFont="1" applyFill="1"/>
    <xf numFmtId="166" fontId="6" fillId="3" borderId="0" xfId="0" applyNumberFormat="1" applyFont="1" applyFill="1"/>
    <xf numFmtId="9" fontId="5" fillId="0" borderId="0" xfId="2" applyFont="1"/>
    <xf numFmtId="9" fontId="2" fillId="0" borderId="3" xfId="0" applyNumberFormat="1" applyFont="1" applyBorder="1"/>
    <xf numFmtId="9" fontId="2" fillId="0" borderId="3" xfId="2" applyFont="1" applyBorder="1"/>
    <xf numFmtId="9" fontId="5" fillId="0" borderId="3" xfId="2" applyFont="1" applyBorder="1"/>
    <xf numFmtId="9" fontId="2" fillId="0" borderId="1" xfId="0" applyNumberFormat="1" applyFont="1" applyBorder="1"/>
    <xf numFmtId="9" fontId="2" fillId="0" borderId="1" xfId="2" applyFont="1" applyBorder="1"/>
    <xf numFmtId="9" fontId="5" fillId="0" borderId="1" xfId="2" applyFont="1" applyBorder="1"/>
    <xf numFmtId="9" fontId="2" fillId="4" borderId="0" xfId="2" applyFont="1" applyFill="1"/>
    <xf numFmtId="9" fontId="2" fillId="4" borderId="3" xfId="2" applyFont="1" applyFill="1" applyBorder="1"/>
    <xf numFmtId="9" fontId="2" fillId="4" borderId="1" xfId="2" applyFont="1" applyFill="1" applyBorder="1"/>
    <xf numFmtId="165" fontId="2" fillId="4" borderId="0" xfId="1" applyNumberFormat="1" applyFont="1" applyFill="1"/>
    <xf numFmtId="9" fontId="2" fillId="4" borderId="4" xfId="2" applyFont="1" applyFill="1" applyBorder="1"/>
    <xf numFmtId="9" fontId="2" fillId="0" borderId="4" xfId="0" applyNumberFormat="1" applyFont="1" applyBorder="1"/>
    <xf numFmtId="170" fontId="2" fillId="0" borderId="1" xfId="0" applyNumberFormat="1" applyFont="1" applyBorder="1"/>
    <xf numFmtId="170" fontId="5" fillId="0" borderId="1" xfId="0" applyNumberFormat="1" applyFont="1" applyBorder="1"/>
    <xf numFmtId="170" fontId="2" fillId="4" borderId="1" xfId="0" applyNumberFormat="1" applyFont="1" applyFill="1" applyBorder="1"/>
    <xf numFmtId="166" fontId="2" fillId="0" borderId="3" xfId="1" applyNumberFormat="1" applyFont="1" applyBorder="1"/>
    <xf numFmtId="0" fontId="9" fillId="2" borderId="0" xfId="0" applyFont="1" applyFill="1" applyAlignment="1">
      <alignment horizontal="center"/>
    </xf>
    <xf numFmtId="170" fontId="2" fillId="0" borderId="0" xfId="0" applyNumberFormat="1" applyFont="1"/>
    <xf numFmtId="168" fontId="2" fillId="0" borderId="0" xfId="0" applyNumberFormat="1" applyFont="1"/>
    <xf numFmtId="9" fontId="2" fillId="0" borderId="0" xfId="2" applyFont="1" applyFill="1"/>
    <xf numFmtId="0" fontId="10" fillId="0" borderId="0" xfId="0" applyFont="1"/>
    <xf numFmtId="9" fontId="6" fillId="0" borderId="3" xfId="0" applyNumberFormat="1" applyFont="1" applyBorder="1"/>
    <xf numFmtId="1" fontId="6" fillId="0" borderId="3" xfId="0" applyNumberFormat="1" applyFont="1" applyBorder="1"/>
    <xf numFmtId="9" fontId="5" fillId="0" borderId="4" xfId="0" applyNumberFormat="1" applyFont="1" applyBorder="1"/>
    <xf numFmtId="0" fontId="6" fillId="4" borderId="6" xfId="0" applyFont="1" applyFill="1" applyBorder="1"/>
    <xf numFmtId="9" fontId="6" fillId="4" borderId="7" xfId="0" applyNumberFormat="1" applyFont="1" applyFill="1" applyBorder="1"/>
    <xf numFmtId="166" fontId="6" fillId="4" borderId="4" xfId="0" applyNumberFormat="1" applyFont="1" applyFill="1" applyBorder="1"/>
    <xf numFmtId="0" fontId="2" fillId="0" borderId="8" xfId="0" applyFont="1" applyBorder="1"/>
    <xf numFmtId="9" fontId="2" fillId="0" borderId="9" xfId="0" applyNumberFormat="1" applyFont="1" applyBorder="1"/>
    <xf numFmtId="9" fontId="2" fillId="0" borderId="10" xfId="0" applyNumberFormat="1" applyFont="1" applyBorder="1"/>
    <xf numFmtId="0" fontId="2" fillId="0" borderId="11" xfId="0" applyFont="1" applyBorder="1"/>
    <xf numFmtId="9" fontId="2" fillId="0" borderId="0" xfId="2" applyFont="1" applyBorder="1"/>
    <xf numFmtId="9" fontId="2" fillId="0" borderId="12" xfId="2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9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1C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Sheet1!$M$89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Sheet1!$N$88:$S$88</c:f>
              <c:numCache>
                <c:formatCode>yyyy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44195</c:v>
                </c:pt>
                <c:pt idx="3">
                  <c:v>44560</c:v>
                </c:pt>
                <c:pt idx="4">
                  <c:v>44925</c:v>
                </c:pt>
                <c:pt idx="5">
                  <c:v>45290</c:v>
                </c:pt>
              </c:numCache>
            </c:numRef>
          </c:cat>
          <c:val>
            <c:numRef>
              <c:f>Sheet1!$N$89:$S$89</c:f>
              <c:numCache>
                <c:formatCode>_(* #,##0_);_(* \(#,##0\);_(* "-"??_);_(@_)</c:formatCode>
                <c:ptCount val="6"/>
                <c:pt idx="0">
                  <c:v>13223</c:v>
                </c:pt>
                <c:pt idx="1">
                  <c:v>17016.380000000005</c:v>
                </c:pt>
                <c:pt idx="2">
                  <c:v>20957.362800000003</c:v>
                </c:pt>
                <c:pt idx="3">
                  <c:v>25388.804568000003</c:v>
                </c:pt>
                <c:pt idx="4">
                  <c:v>29532.132842080006</c:v>
                </c:pt>
                <c:pt idx="5">
                  <c:v>33854.06081260481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4-4F9A-BA60-ADBCA3793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5021440"/>
        <c:axId val="965008000"/>
      </c:barChart>
      <c:lineChart>
        <c:grouping val="standard"/>
        <c:varyColors val="0"/>
        <c:ser>
          <c:idx val="1"/>
          <c:order val="1"/>
          <c:tx>
            <c:strRef>
              <c:f>Sheet1!$M$90</c:f>
              <c:strCache>
                <c:ptCount val="1"/>
                <c:pt idx="0">
                  <c:v>Stores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Sheet1!$N$88:$S$88</c:f>
              <c:numCache>
                <c:formatCode>yyyy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44195</c:v>
                </c:pt>
                <c:pt idx="3">
                  <c:v>44560</c:v>
                </c:pt>
                <c:pt idx="4">
                  <c:v>44925</c:v>
                </c:pt>
                <c:pt idx="5">
                  <c:v>45290</c:v>
                </c:pt>
              </c:numCache>
            </c:numRef>
          </c:cat>
          <c:val>
            <c:numRef>
              <c:f>Sheet1!$N$90:$S$90</c:f>
              <c:numCache>
                <c:formatCode>General</c:formatCode>
                <c:ptCount val="6"/>
                <c:pt idx="0">
                  <c:v>363</c:v>
                </c:pt>
                <c:pt idx="1">
                  <c:v>483</c:v>
                </c:pt>
                <c:pt idx="2">
                  <c:v>583</c:v>
                </c:pt>
                <c:pt idx="3">
                  <c:v>683</c:v>
                </c:pt>
                <c:pt idx="4">
                  <c:v>763</c:v>
                </c:pt>
                <c:pt idx="5">
                  <c:v>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34-4F9A-BA60-ADBCA3793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009920"/>
        <c:axId val="965020000"/>
      </c:lineChart>
      <c:dateAx>
        <c:axId val="965021440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008000"/>
        <c:crosses val="autoZero"/>
        <c:auto val="1"/>
        <c:lblOffset val="100"/>
        <c:baseTimeUnit val="years"/>
      </c:dateAx>
      <c:valAx>
        <c:axId val="965008000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021440"/>
        <c:crosses val="autoZero"/>
        <c:crossBetween val="between"/>
      </c:valAx>
      <c:valAx>
        <c:axId val="9650200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009920"/>
        <c:crosses val="max"/>
        <c:crossBetween val="between"/>
      </c:valAx>
      <c:dateAx>
        <c:axId val="965009920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96502000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Sheet1!$M$114</c:f>
              <c:strCache>
                <c:ptCount val="1"/>
                <c:pt idx="0">
                  <c:v>Hotpot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Sheet1!$N$113:$R$113</c:f>
              <c:numCache>
                <c:formatCode>yyyy</c:formatCode>
                <c:ptCount val="5"/>
                <c:pt idx="0">
                  <c:v>43465</c:v>
                </c:pt>
                <c:pt idx="1">
                  <c:v>43830</c:v>
                </c:pt>
                <c:pt idx="2">
                  <c:v>44195</c:v>
                </c:pt>
                <c:pt idx="3">
                  <c:v>44560</c:v>
                </c:pt>
                <c:pt idx="4">
                  <c:v>44925</c:v>
                </c:pt>
              </c:numCache>
            </c:numRef>
          </c:cat>
          <c:val>
            <c:numRef>
              <c:f>Sheet1!$N$114:$R$114</c:f>
              <c:numCache>
                <c:formatCode>General</c:formatCode>
                <c:ptCount val="5"/>
                <c:pt idx="0">
                  <c:v>481</c:v>
                </c:pt>
                <c:pt idx="1">
                  <c:v>530</c:v>
                </c:pt>
                <c:pt idx="2">
                  <c:v>584</c:v>
                </c:pt>
                <c:pt idx="3">
                  <c:v>644</c:v>
                </c:pt>
                <c:pt idx="4">
                  <c:v>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5-49F9-95A8-755F9D49A860}"/>
            </c:ext>
          </c:extLst>
        </c:ser>
        <c:ser>
          <c:idx val="1"/>
          <c:order val="1"/>
          <c:tx>
            <c:strRef>
              <c:f>Sheet1!$M$115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Sheet1!$N$113:$R$113</c:f>
              <c:numCache>
                <c:formatCode>yyyy</c:formatCode>
                <c:ptCount val="5"/>
                <c:pt idx="0">
                  <c:v>43465</c:v>
                </c:pt>
                <c:pt idx="1">
                  <c:v>43830</c:v>
                </c:pt>
                <c:pt idx="2">
                  <c:v>44195</c:v>
                </c:pt>
                <c:pt idx="3">
                  <c:v>44560</c:v>
                </c:pt>
                <c:pt idx="4">
                  <c:v>44925</c:v>
                </c:pt>
              </c:numCache>
            </c:numRef>
          </c:cat>
          <c:val>
            <c:numRef>
              <c:f>Sheet1!$N$115:$R$115</c:f>
              <c:numCache>
                <c:formatCode>General</c:formatCode>
                <c:ptCount val="5"/>
                <c:pt idx="0">
                  <c:v>3004</c:v>
                </c:pt>
                <c:pt idx="1">
                  <c:v>3276</c:v>
                </c:pt>
                <c:pt idx="2">
                  <c:v>3567</c:v>
                </c:pt>
                <c:pt idx="3">
                  <c:v>3871</c:v>
                </c:pt>
                <c:pt idx="4">
                  <c:v>4181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35-49F9-95A8-755F9D49A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3716080"/>
        <c:axId val="963705040"/>
      </c:barChart>
      <c:dateAx>
        <c:axId val="963716080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705040"/>
        <c:crosses val="autoZero"/>
        <c:auto val="1"/>
        <c:lblOffset val="100"/>
        <c:baseTimeUnit val="years"/>
      </c:dateAx>
      <c:valAx>
        <c:axId val="96370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71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Sheet1!$M$131</c:f>
              <c:strCache>
                <c:ptCount val="1"/>
                <c:pt idx="0">
                  <c:v>Tier 1 Cities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Sheet1!$N$130:$R$130</c:f>
              <c:numCache>
                <c:formatCode>yyyy</c:formatCode>
                <c:ptCount val="5"/>
                <c:pt idx="0">
                  <c:v>43465</c:v>
                </c:pt>
                <c:pt idx="1">
                  <c:v>43830</c:v>
                </c:pt>
                <c:pt idx="2">
                  <c:v>44195</c:v>
                </c:pt>
                <c:pt idx="3">
                  <c:v>44560</c:v>
                </c:pt>
                <c:pt idx="4">
                  <c:v>44925</c:v>
                </c:pt>
              </c:numCache>
            </c:numRef>
          </c:cat>
          <c:val>
            <c:numRef>
              <c:f>Sheet1!$N$131:$R$131</c:f>
              <c:numCache>
                <c:formatCode>_(* #,##0_);_(* \(#,##0\);_(* "-"??_);_(@_)</c:formatCode>
                <c:ptCount val="5"/>
                <c:pt idx="0" formatCode="General">
                  <c:v>41</c:v>
                </c:pt>
                <c:pt idx="1">
                  <c:v>45.498481614168377</c:v>
                </c:pt>
                <c:pt idx="2">
                  <c:v>50.490532419385801</c:v>
                </c:pt>
                <c:pt idx="3">
                  <c:v>56.030306365195059</c:v>
                </c:pt>
                <c:pt idx="4" formatCode="General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6-48E7-B36C-B39DA280C9E3}"/>
            </c:ext>
          </c:extLst>
        </c:ser>
        <c:ser>
          <c:idx val="1"/>
          <c:order val="1"/>
          <c:tx>
            <c:strRef>
              <c:f>Sheet1!$M$132</c:f>
              <c:strCache>
                <c:ptCount val="1"/>
                <c:pt idx="0">
                  <c:v>Lower Tier Cities and Rural Areas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Sheet1!$N$130:$R$130</c:f>
              <c:numCache>
                <c:formatCode>yyyy</c:formatCode>
                <c:ptCount val="5"/>
                <c:pt idx="0">
                  <c:v>43465</c:v>
                </c:pt>
                <c:pt idx="1">
                  <c:v>43830</c:v>
                </c:pt>
                <c:pt idx="2">
                  <c:v>44195</c:v>
                </c:pt>
                <c:pt idx="3">
                  <c:v>44560</c:v>
                </c:pt>
                <c:pt idx="4">
                  <c:v>44925</c:v>
                </c:pt>
              </c:numCache>
            </c:numRef>
          </c:cat>
          <c:val>
            <c:numRef>
              <c:f>Sheet1!$N$132:$R$132</c:f>
              <c:numCache>
                <c:formatCode>_(* #,##0_);_(* \(#,##0\);_(* "-"??_);_(@_)</c:formatCode>
                <c:ptCount val="5"/>
                <c:pt idx="0" formatCode="General">
                  <c:v>395</c:v>
                </c:pt>
                <c:pt idx="1">
                  <c:v>438.33903018528071</c:v>
                </c:pt>
                <c:pt idx="2">
                  <c:v>486.43317818676564</c:v>
                </c:pt>
                <c:pt idx="3">
                  <c:v>539.80417107931828</c:v>
                </c:pt>
                <c:pt idx="4" formatCode="General">
                  <c:v>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56-48E7-B36C-B39DA280C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7208272"/>
        <c:axId val="1127213072"/>
      </c:barChart>
      <c:dateAx>
        <c:axId val="1127208272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213072"/>
        <c:crosses val="autoZero"/>
        <c:auto val="1"/>
        <c:lblOffset val="100"/>
        <c:baseTimeUnit val="years"/>
      </c:dateAx>
      <c:valAx>
        <c:axId val="1127213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20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Sheet1!$M$135</c:f>
              <c:strCache>
                <c:ptCount val="1"/>
                <c:pt idx="0">
                  <c:v>Premium Market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Sheet1!$N$134:$R$134</c:f>
              <c:numCache>
                <c:formatCode>yyyy</c:formatCode>
                <c:ptCount val="5"/>
                <c:pt idx="0">
                  <c:v>43465</c:v>
                </c:pt>
                <c:pt idx="1">
                  <c:v>43830</c:v>
                </c:pt>
                <c:pt idx="2">
                  <c:v>44195</c:v>
                </c:pt>
                <c:pt idx="3">
                  <c:v>44560</c:v>
                </c:pt>
                <c:pt idx="4">
                  <c:v>44925</c:v>
                </c:pt>
              </c:numCache>
            </c:numRef>
          </c:cat>
          <c:val>
            <c:numRef>
              <c:f>Sheet1!$N$135:$R$135</c:f>
              <c:numCache>
                <c:formatCode>_(* #,##0_);_(* \(#,##0\);_(* "-"??_);_(@_)</c:formatCode>
                <c:ptCount val="5"/>
                <c:pt idx="0" formatCode="General">
                  <c:v>5</c:v>
                </c:pt>
                <c:pt idx="1">
                  <c:v>5.6237305657104741</c:v>
                </c:pt>
                <c:pt idx="2">
                  <c:v>6.32526909514125</c:v>
                </c:pt>
                <c:pt idx="3">
                  <c:v>7.1143218293379364</c:v>
                </c:pt>
                <c:pt idx="4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A-4A9C-A43C-A2E7EDDD919C}"/>
            </c:ext>
          </c:extLst>
        </c:ser>
        <c:ser>
          <c:idx val="1"/>
          <c:order val="1"/>
          <c:tx>
            <c:strRef>
              <c:f>Sheet1!$M$136</c:f>
              <c:strCache>
                <c:ptCount val="1"/>
                <c:pt idx="0">
                  <c:v>Mid To High End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Sheet1!$N$134:$R$134</c:f>
              <c:numCache>
                <c:formatCode>yyyy</c:formatCode>
                <c:ptCount val="5"/>
                <c:pt idx="0">
                  <c:v>43465</c:v>
                </c:pt>
                <c:pt idx="1">
                  <c:v>43830</c:v>
                </c:pt>
                <c:pt idx="2">
                  <c:v>44195</c:v>
                </c:pt>
                <c:pt idx="3">
                  <c:v>44560</c:v>
                </c:pt>
                <c:pt idx="4">
                  <c:v>44925</c:v>
                </c:pt>
              </c:numCache>
            </c:numRef>
          </c:cat>
          <c:val>
            <c:numRef>
              <c:f>Sheet1!$N$136:$R$136</c:f>
              <c:numCache>
                <c:formatCode>_(* #,##0_);_(* \(#,##0\);_(* "-"??_);_(@_)</c:formatCode>
                <c:ptCount val="5"/>
                <c:pt idx="0" formatCode="General">
                  <c:v>124</c:v>
                </c:pt>
                <c:pt idx="1">
                  <c:v>139.46851802961976</c:v>
                </c:pt>
                <c:pt idx="2">
                  <c:v>156.866673559503</c:v>
                </c:pt>
                <c:pt idx="3">
                  <c:v>176.43518136758081</c:v>
                </c:pt>
                <c:pt idx="4" formatCode="General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EA-4A9C-A43C-A2E7EDDD919C}"/>
            </c:ext>
          </c:extLst>
        </c:ser>
        <c:ser>
          <c:idx val="2"/>
          <c:order val="2"/>
          <c:tx>
            <c:strRef>
              <c:f>Sheet1!$M$137</c:f>
              <c:strCache>
                <c:ptCount val="1"/>
                <c:pt idx="0">
                  <c:v>Mass Market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Sheet1!$N$134:$R$134</c:f>
              <c:numCache>
                <c:formatCode>yyyy</c:formatCode>
                <c:ptCount val="5"/>
                <c:pt idx="0">
                  <c:v>43465</c:v>
                </c:pt>
                <c:pt idx="1">
                  <c:v>43830</c:v>
                </c:pt>
                <c:pt idx="2">
                  <c:v>44195</c:v>
                </c:pt>
                <c:pt idx="3">
                  <c:v>44560</c:v>
                </c:pt>
                <c:pt idx="4">
                  <c:v>44925</c:v>
                </c:pt>
              </c:numCache>
            </c:numRef>
          </c:cat>
          <c:val>
            <c:numRef>
              <c:f>Sheet1!$N$137:$R$137</c:f>
              <c:numCache>
                <c:formatCode>_(* #,##0_);_(* \(#,##0\);_(* "-"??_);_(@_)</c:formatCode>
                <c:ptCount val="5"/>
                <c:pt idx="0" formatCode="General">
                  <c:v>307</c:v>
                </c:pt>
                <c:pt idx="1">
                  <c:v>345.29705673462308</c:v>
                </c:pt>
                <c:pt idx="2">
                  <c:v>388.37152244167271</c:v>
                </c:pt>
                <c:pt idx="3">
                  <c:v>436.81936032134922</c:v>
                </c:pt>
                <c:pt idx="4" formatCode="General">
                  <c:v>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EA-4A9C-A43C-A2E7EDDD9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1247440"/>
        <c:axId val="951257520"/>
      </c:barChart>
      <c:dateAx>
        <c:axId val="951247440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257520"/>
        <c:crosses val="autoZero"/>
        <c:auto val="1"/>
        <c:lblOffset val="100"/>
        <c:baseTimeUnit val="years"/>
      </c:dateAx>
      <c:valAx>
        <c:axId val="951257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24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CD8BA392-2201-4563-BEFD-EB449FFF2455}">
          <cx:dataLabels pos="outEnd">
            <cx:visibility seriesName="0" categoryName="0" value="1"/>
          </cx:dataLabels>
          <cx:dataId val="0"/>
          <cx:layoutPr>
            <cx:subtotals>
              <cx:idx val="5"/>
            </cx:subtotals>
          </cx:layoutPr>
        </cx:series>
      </cx:plotAreaRegion>
      <cx:axis id="0">
        <cx:catScaling gapWidth="0.5"/>
        <cx:tickLabels/>
      </cx:axis>
      <cx:axis id="1">
        <cx:valScaling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477109</xdr:colOff>
      <xdr:row>60</xdr:row>
      <xdr:rowOff>134380</xdr:rowOff>
    </xdr:from>
    <xdr:to>
      <xdr:col>29</xdr:col>
      <xdr:colOff>175055</xdr:colOff>
      <xdr:row>77</xdr:row>
      <xdr:rowOff>62986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93A0466D-B3A5-0993-6970-6BB7928C902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114109" y="9926080"/>
              <a:ext cx="4574746" cy="27035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22</xdr:col>
      <xdr:colOff>134287</xdr:colOff>
      <xdr:row>81</xdr:row>
      <xdr:rowOff>132622</xdr:rowOff>
    </xdr:from>
    <xdr:to>
      <xdr:col>29</xdr:col>
      <xdr:colOff>407025</xdr:colOff>
      <xdr:row>102</xdr:row>
      <xdr:rowOff>2707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AFFD23-20E7-E6A6-8AFA-01FA8E7FF3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34248</xdr:colOff>
      <xdr:row>106</xdr:row>
      <xdr:rowOff>153441</xdr:rowOff>
    </xdr:from>
    <xdr:to>
      <xdr:col>30</xdr:col>
      <xdr:colOff>313335</xdr:colOff>
      <xdr:row>124</xdr:row>
      <xdr:rowOff>75575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25F4BB5-2484-5B03-839B-0736250E3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238386</xdr:colOff>
      <xdr:row>130</xdr:row>
      <xdr:rowOff>59753</xdr:rowOff>
    </xdr:from>
    <xdr:to>
      <xdr:col>30</xdr:col>
      <xdr:colOff>511123</xdr:colOff>
      <xdr:row>147</xdr:row>
      <xdr:rowOff>148445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351DB51-4540-59FE-DA44-3CCDD65436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300845</xdr:colOff>
      <xdr:row>149</xdr:row>
      <xdr:rowOff>18114</xdr:rowOff>
    </xdr:from>
    <xdr:to>
      <xdr:col>30</xdr:col>
      <xdr:colOff>573582</xdr:colOff>
      <xdr:row>166</xdr:row>
      <xdr:rowOff>106806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2CADF3E-A9B3-5ECA-F8EB-CF556F975A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Q137"/>
  <sheetViews>
    <sheetView showGridLines="0" tabSelected="1" zoomScale="75" workbookViewId="0">
      <selection activeCell="O40" sqref="O40"/>
    </sheetView>
  </sheetViews>
  <sheetFormatPr defaultRowHeight="12.5" x14ac:dyDescent="0.25"/>
  <cols>
    <col min="1" max="1" width="2.6328125" style="1" customWidth="1"/>
    <col min="2" max="2" width="25.6328125" style="1" customWidth="1"/>
    <col min="3" max="10" width="10.6328125" style="1" customWidth="1"/>
    <col min="11" max="11" width="8.7265625" style="1"/>
    <col min="12" max="12" width="10.81640625" style="1" bestFit="1" customWidth="1"/>
    <col min="13" max="13" width="25.6328125" style="1" customWidth="1"/>
    <col min="14" max="19" width="10.36328125" style="1" bestFit="1" customWidth="1"/>
    <col min="20" max="16384" width="8.7265625" style="1"/>
  </cols>
  <sheetData>
    <row r="3" spans="1:14" ht="13" x14ac:dyDescent="0.3">
      <c r="A3" s="1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4" x14ac:dyDescent="0.25">
      <c r="M4" s="1">
        <v>1</v>
      </c>
      <c r="N4" s="20">
        <v>0.75</v>
      </c>
    </row>
    <row r="5" spans="1:14" ht="16" x14ac:dyDescent="0.6">
      <c r="B5" s="4" t="s">
        <v>2</v>
      </c>
      <c r="C5" s="5">
        <v>43465</v>
      </c>
      <c r="D5" s="5">
        <f>C5+365</f>
        <v>43830</v>
      </c>
      <c r="E5" s="5">
        <f t="shared" ref="E5:H5" si="0">D5+365</f>
        <v>44195</v>
      </c>
      <c r="F5" s="5">
        <f t="shared" si="0"/>
        <v>44560</v>
      </c>
      <c r="G5" s="5">
        <f t="shared" si="0"/>
        <v>44925</v>
      </c>
      <c r="H5" s="5">
        <f t="shared" si="0"/>
        <v>45290</v>
      </c>
      <c r="I5" s="5" t="s">
        <v>5</v>
      </c>
      <c r="M5" s="1">
        <v>0.5</v>
      </c>
      <c r="N5" s="20">
        <v>0.25</v>
      </c>
    </row>
    <row r="6" spans="1:14" ht="13" x14ac:dyDescent="0.3">
      <c r="B6" s="26">
        <v>2018</v>
      </c>
      <c r="C6" s="8">
        <f>C21/I6</f>
        <v>36.426997245179066</v>
      </c>
      <c r="D6" s="14">
        <f ca="1">C6*(1+$N$27)</f>
        <v>38.612617079889816</v>
      </c>
      <c r="E6" s="14">
        <f ca="1">D6*(1+$N$27)</f>
        <v>40.929374104683205</v>
      </c>
      <c r="F6" s="14">
        <f ca="1">E6*(1+$N$27)</f>
        <v>43.385136550964198</v>
      </c>
      <c r="G6" s="14">
        <f ca="1">F6*(1+$N$27)</f>
        <v>45.988244744022055</v>
      </c>
      <c r="H6" s="14">
        <f ca="1">G6*(1+$N$27)</f>
        <v>48.74753942866338</v>
      </c>
      <c r="I6" s="6">
        <v>363</v>
      </c>
      <c r="N6" s="1">
        <f>SUMPRODUCT(M4:M5,N4:N5)</f>
        <v>0.875</v>
      </c>
    </row>
    <row r="7" spans="1:14" ht="13" x14ac:dyDescent="0.3">
      <c r="B7" s="26">
        <f>B6+1</f>
        <v>2019</v>
      </c>
      <c r="D7" s="1">
        <f ca="1">$N$24</f>
        <v>25</v>
      </c>
      <c r="E7" s="1">
        <f ca="1">D7*(1+$N$25)</f>
        <v>30</v>
      </c>
      <c r="F7" s="23">
        <f ca="1">E7*(1+$N$26)</f>
        <v>34.5</v>
      </c>
      <c r="G7" s="23">
        <f ca="1">F7*(1+$N$27)</f>
        <v>36.57</v>
      </c>
      <c r="H7" s="23">
        <f ca="1">G7*(1+$N$27)</f>
        <v>38.764200000000002</v>
      </c>
      <c r="I7" s="1">
        <f ca="1">$N$21</f>
        <v>120</v>
      </c>
      <c r="N7" s="1">
        <f>N6*6.88</f>
        <v>6.02</v>
      </c>
    </row>
    <row r="8" spans="1:14" ht="13" x14ac:dyDescent="0.3">
      <c r="B8" s="26">
        <f t="shared" ref="B8:B10" si="1">B7+1</f>
        <v>2020</v>
      </c>
      <c r="E8" s="1">
        <f ca="1">$N$24</f>
        <v>25</v>
      </c>
      <c r="F8" s="1">
        <f ca="1">E8*(1+$N$25)</f>
        <v>30</v>
      </c>
      <c r="G8" s="23">
        <f ca="1">F8*(1+$N$26)</f>
        <v>34.5</v>
      </c>
      <c r="H8" s="23">
        <f ca="1">G8*(1+$N$27)</f>
        <v>36.57</v>
      </c>
      <c r="I8" s="1">
        <f ca="1">$N$22</f>
        <v>100</v>
      </c>
    </row>
    <row r="9" spans="1:14" ht="13" x14ac:dyDescent="0.3">
      <c r="B9" s="26">
        <f t="shared" si="1"/>
        <v>2021</v>
      </c>
      <c r="F9" s="1">
        <f ca="1">$N$24</f>
        <v>25</v>
      </c>
      <c r="G9" s="1">
        <f ca="1">F9*(1+$N$25)</f>
        <v>30</v>
      </c>
      <c r="H9" s="23">
        <f ca="1">G9*(1+$N$26)</f>
        <v>34.5</v>
      </c>
      <c r="I9" s="1">
        <f ca="1">$N$22</f>
        <v>100</v>
      </c>
      <c r="N9" s="10">
        <f>5%*75%</f>
        <v>3.7500000000000006E-2</v>
      </c>
    </row>
    <row r="10" spans="1:14" ht="13" x14ac:dyDescent="0.3">
      <c r="B10" s="26">
        <f t="shared" si="1"/>
        <v>2022</v>
      </c>
      <c r="G10" s="1">
        <f ca="1">$N$24</f>
        <v>25</v>
      </c>
      <c r="H10" s="1">
        <f ca="1">G10*(1+$N$25)</f>
        <v>30</v>
      </c>
      <c r="I10" s="1">
        <f ca="1">$N$23</f>
        <v>80</v>
      </c>
    </row>
    <row r="11" spans="1:14" ht="13" x14ac:dyDescent="0.3">
      <c r="B11" s="26">
        <f>B10+1</f>
        <v>2023</v>
      </c>
      <c r="H11" s="1">
        <f ca="1">$N$24</f>
        <v>25</v>
      </c>
      <c r="I11" s="1">
        <f ca="1">$N$23</f>
        <v>80</v>
      </c>
    </row>
    <row r="12" spans="1:14" x14ac:dyDescent="0.25">
      <c r="B12" s="18" t="s">
        <v>4</v>
      </c>
      <c r="C12" s="66">
        <f ca="1">SUMPRODUCT(C6:C11,$I$6:$I$11)</f>
        <v>13223.000000000002</v>
      </c>
      <c r="D12" s="66">
        <f t="shared" ref="D12:H12" ca="1" si="2">SUMPRODUCT(D6:D11,$I$6:$I$11)</f>
        <v>17016.380000000005</v>
      </c>
      <c r="E12" s="66">
        <f t="shared" ca="1" si="2"/>
        <v>20957.362800000003</v>
      </c>
      <c r="F12" s="66">
        <f t="shared" ca="1" si="2"/>
        <v>25388.804568000003</v>
      </c>
      <c r="G12" s="66">
        <f t="shared" ca="1" si="2"/>
        <v>29532.132842080006</v>
      </c>
      <c r="H12" s="66">
        <f t="shared" ca="1" si="2"/>
        <v>33854.06081260481</v>
      </c>
      <c r="J12" s="1" t="s">
        <v>76</v>
      </c>
      <c r="K12" s="1">
        <f ca="1">SUM(I7:I11)</f>
        <v>480</v>
      </c>
      <c r="L12" s="1">
        <f ca="1">K12*0.5*6.88</f>
        <v>1651.2</v>
      </c>
    </row>
    <row r="13" spans="1:14" x14ac:dyDescent="0.25">
      <c r="B13" s="1" t="s">
        <v>5</v>
      </c>
      <c r="C13" s="1">
        <f>$I$6</f>
        <v>363</v>
      </c>
      <c r="D13" s="1">
        <f ca="1">C13+$I$7</f>
        <v>483</v>
      </c>
      <c r="E13" s="1">
        <f ca="1">D13+$I$8</f>
        <v>583</v>
      </c>
      <c r="F13" s="1">
        <f ca="1">E13+$I$9</f>
        <v>683</v>
      </c>
      <c r="G13" s="1">
        <f ca="1">F13+$I$10</f>
        <v>763</v>
      </c>
      <c r="H13" s="1">
        <f ca="1">G13+$I$11</f>
        <v>843</v>
      </c>
    </row>
    <row r="14" spans="1:14" x14ac:dyDescent="0.25">
      <c r="C14" s="14"/>
    </row>
    <row r="15" spans="1:14" x14ac:dyDescent="0.25">
      <c r="C15" s="8">
        <f>36000000/6.88</f>
        <v>5232558.1395348841</v>
      </c>
    </row>
    <row r="17" spans="1:42" ht="13" x14ac:dyDescent="0.3">
      <c r="A17" s="1" t="s">
        <v>0</v>
      </c>
      <c r="B17" s="2" t="s">
        <v>3</v>
      </c>
      <c r="C17" s="2"/>
      <c r="D17" s="2"/>
      <c r="E17" s="2"/>
      <c r="F17" s="2"/>
      <c r="G17" s="2"/>
      <c r="H17" s="2"/>
      <c r="I17" s="24"/>
      <c r="J17" s="24"/>
      <c r="M17" s="2" t="s">
        <v>27</v>
      </c>
      <c r="N17" s="2"/>
      <c r="O17" s="2"/>
      <c r="P17" s="2"/>
      <c r="Q17" s="2"/>
      <c r="R17" s="2"/>
      <c r="S17" s="2"/>
      <c r="T17" s="2"/>
      <c r="U17" s="2"/>
    </row>
    <row r="18" spans="1:42" x14ac:dyDescent="0.25">
      <c r="N18" s="1" t="s">
        <v>28</v>
      </c>
    </row>
    <row r="19" spans="1:42" ht="16" x14ac:dyDescent="0.6">
      <c r="B19" s="4" t="s">
        <v>2</v>
      </c>
      <c r="C19" s="5">
        <v>43465</v>
      </c>
      <c r="D19" s="5">
        <f>C19+365</f>
        <v>43830</v>
      </c>
      <c r="E19" s="5">
        <f t="shared" ref="E19:H19" si="3">D19+365</f>
        <v>44195</v>
      </c>
      <c r="F19" s="5">
        <f t="shared" si="3"/>
        <v>44560</v>
      </c>
      <c r="G19" s="5">
        <f t="shared" si="3"/>
        <v>44925</v>
      </c>
      <c r="H19" s="5">
        <f t="shared" si="3"/>
        <v>45290</v>
      </c>
      <c r="I19" s="5" t="s">
        <v>85</v>
      </c>
      <c r="N19" s="16">
        <v>1</v>
      </c>
    </row>
    <row r="20" spans="1:42" ht="13" x14ac:dyDescent="0.3">
      <c r="M20" s="13" t="s">
        <v>29</v>
      </c>
      <c r="N20" s="17" t="str">
        <f t="shared" ref="N20:N40" ca="1" si="4">OFFSET(N20,,$N$19)</f>
        <v>Base</v>
      </c>
      <c r="O20" s="17" t="s">
        <v>30</v>
      </c>
      <c r="P20" s="17" t="s">
        <v>31</v>
      </c>
      <c r="Q20" s="17" t="s">
        <v>32</v>
      </c>
      <c r="R20" s="17" t="s">
        <v>25</v>
      </c>
      <c r="S20" s="17" t="s">
        <v>33</v>
      </c>
      <c r="T20" s="17" t="s">
        <v>34</v>
      </c>
      <c r="U20" s="17" t="s">
        <v>86</v>
      </c>
      <c r="V20" s="17" t="s">
        <v>88</v>
      </c>
      <c r="W20" s="17" t="s">
        <v>72</v>
      </c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</row>
    <row r="21" spans="1:42" x14ac:dyDescent="0.25">
      <c r="B21" s="1" t="s">
        <v>4</v>
      </c>
      <c r="C21" s="6">
        <f>10637-4756+7342</f>
        <v>13223</v>
      </c>
      <c r="D21" s="14">
        <f ca="1">D12</f>
        <v>17016.380000000005</v>
      </c>
      <c r="E21" s="14">
        <f t="shared" ref="E21:H21" ca="1" si="5">E12</f>
        <v>20957.362800000003</v>
      </c>
      <c r="F21" s="14">
        <f t="shared" ca="1" si="5"/>
        <v>25388.804568000003</v>
      </c>
      <c r="G21" s="14">
        <f t="shared" ca="1" si="5"/>
        <v>29532.132842080006</v>
      </c>
      <c r="H21" s="14">
        <f t="shared" ca="1" si="5"/>
        <v>33854.06081260481</v>
      </c>
      <c r="I21" s="70">
        <f ca="1">_xlfn.RRI(5,C21,H21)</f>
        <v>0.20685794661636914</v>
      </c>
      <c r="M21" s="1" t="s">
        <v>36</v>
      </c>
      <c r="N21" s="40">
        <f t="shared" ca="1" si="4"/>
        <v>120</v>
      </c>
      <c r="O21" s="1">
        <v>120</v>
      </c>
      <c r="P21" s="1">
        <v>150</v>
      </c>
      <c r="Q21" s="1">
        <v>100</v>
      </c>
      <c r="R21" s="20">
        <v>0</v>
      </c>
      <c r="S21" s="1">
        <v>0</v>
      </c>
      <c r="T21" s="1">
        <f>$O21</f>
        <v>120</v>
      </c>
      <c r="U21" s="1">
        <f>$O21</f>
        <v>120</v>
      </c>
      <c r="V21" s="1">
        <f>U21</f>
        <v>120</v>
      </c>
      <c r="W21" s="6">
        <v>140</v>
      </c>
      <c r="X21" s="1">
        <f t="shared" ref="X21:AO22" si="6">$O21</f>
        <v>120</v>
      </c>
      <c r="Y21" s="1">
        <f t="shared" si="6"/>
        <v>120</v>
      </c>
      <c r="Z21" s="1">
        <f t="shared" si="6"/>
        <v>120</v>
      </c>
      <c r="AA21" s="1">
        <f t="shared" si="6"/>
        <v>120</v>
      </c>
      <c r="AB21" s="1">
        <f t="shared" si="6"/>
        <v>120</v>
      </c>
      <c r="AC21" s="1">
        <f t="shared" si="6"/>
        <v>120</v>
      </c>
      <c r="AD21" s="1">
        <f t="shared" si="6"/>
        <v>120</v>
      </c>
      <c r="AE21" s="1">
        <f t="shared" si="6"/>
        <v>120</v>
      </c>
      <c r="AF21" s="1">
        <f t="shared" si="6"/>
        <v>120</v>
      </c>
      <c r="AG21" s="1">
        <f t="shared" si="6"/>
        <v>120</v>
      </c>
      <c r="AH21" s="1">
        <f t="shared" si="6"/>
        <v>120</v>
      </c>
      <c r="AI21" s="1">
        <f t="shared" si="6"/>
        <v>120</v>
      </c>
      <c r="AJ21" s="1">
        <f t="shared" si="6"/>
        <v>120</v>
      </c>
      <c r="AK21" s="1">
        <f t="shared" si="6"/>
        <v>120</v>
      </c>
      <c r="AL21" s="1">
        <f t="shared" si="6"/>
        <v>120</v>
      </c>
      <c r="AM21" s="1">
        <f t="shared" si="6"/>
        <v>120</v>
      </c>
      <c r="AN21" s="1">
        <f t="shared" si="6"/>
        <v>120</v>
      </c>
      <c r="AO21" s="1">
        <f t="shared" si="6"/>
        <v>120</v>
      </c>
      <c r="AP21" s="1">
        <f t="shared" ref="AK21:AP29" si="7">$O21</f>
        <v>120</v>
      </c>
    </row>
    <row r="22" spans="1:42" x14ac:dyDescent="0.25">
      <c r="B22" s="9" t="s">
        <v>7</v>
      </c>
      <c r="D22" s="10">
        <f ca="1">D21/C21-1</f>
        <v>0.28687741057248761</v>
      </c>
      <c r="E22" s="10">
        <f t="shared" ref="E22:H22" ca="1" si="8">E21/D21-1</f>
        <v>0.23159936484728227</v>
      </c>
      <c r="F22" s="10">
        <f t="shared" ca="1" si="8"/>
        <v>0.21145035328586292</v>
      </c>
      <c r="G22" s="10">
        <f t="shared" ca="1" si="8"/>
        <v>0.16319509108759878</v>
      </c>
      <c r="H22" s="10">
        <f t="shared" ca="1" si="8"/>
        <v>0.14634662500117623</v>
      </c>
      <c r="M22" s="1" t="s">
        <v>37</v>
      </c>
      <c r="N22" s="40">
        <f t="shared" ca="1" si="4"/>
        <v>100</v>
      </c>
      <c r="O22" s="1">
        <v>100</v>
      </c>
      <c r="P22" s="1">
        <v>140</v>
      </c>
      <c r="Q22" s="1">
        <v>80</v>
      </c>
      <c r="R22" s="1">
        <v>0</v>
      </c>
      <c r="S22" s="1">
        <v>0</v>
      </c>
      <c r="T22" s="1">
        <f t="shared" ref="T22:V37" si="9">$O22</f>
        <v>100</v>
      </c>
      <c r="U22" s="1">
        <f t="shared" si="9"/>
        <v>100</v>
      </c>
      <c r="V22" s="1">
        <f t="shared" ref="V22:V39" si="10">U22</f>
        <v>100</v>
      </c>
      <c r="W22" s="1">
        <f t="shared" ref="W22:AJ40" si="11">$O22</f>
        <v>100</v>
      </c>
      <c r="X22" s="6">
        <v>120</v>
      </c>
      <c r="Y22" s="1">
        <f t="shared" si="11"/>
        <v>100</v>
      </c>
      <c r="Z22" s="1">
        <f t="shared" si="11"/>
        <v>100</v>
      </c>
      <c r="AA22" s="1">
        <f t="shared" si="11"/>
        <v>100</v>
      </c>
      <c r="AB22" s="1">
        <f t="shared" si="11"/>
        <v>100</v>
      </c>
      <c r="AC22" s="1">
        <f t="shared" si="11"/>
        <v>100</v>
      </c>
      <c r="AD22" s="1">
        <f t="shared" si="11"/>
        <v>100</v>
      </c>
      <c r="AE22" s="1">
        <f t="shared" si="11"/>
        <v>100</v>
      </c>
      <c r="AF22" s="1">
        <f t="shared" si="11"/>
        <v>100</v>
      </c>
      <c r="AG22" s="1">
        <f t="shared" si="11"/>
        <v>100</v>
      </c>
      <c r="AH22" s="1">
        <f t="shared" si="11"/>
        <v>100</v>
      </c>
      <c r="AI22" s="1">
        <f t="shared" si="11"/>
        <v>100</v>
      </c>
      <c r="AJ22" s="1">
        <f t="shared" si="11"/>
        <v>100</v>
      </c>
      <c r="AK22" s="1">
        <f t="shared" si="6"/>
        <v>100</v>
      </c>
      <c r="AL22" s="1">
        <f t="shared" si="6"/>
        <v>100</v>
      </c>
      <c r="AM22" s="1">
        <f t="shared" si="6"/>
        <v>100</v>
      </c>
      <c r="AN22" s="1">
        <f t="shared" si="6"/>
        <v>100</v>
      </c>
      <c r="AO22" s="1">
        <f t="shared" si="6"/>
        <v>100</v>
      </c>
      <c r="AP22" s="1">
        <f t="shared" si="7"/>
        <v>100</v>
      </c>
    </row>
    <row r="23" spans="1:42" x14ac:dyDescent="0.25">
      <c r="B23" s="9"/>
      <c r="M23" s="1" t="s">
        <v>38</v>
      </c>
      <c r="N23" s="40">
        <f t="shared" ca="1" si="4"/>
        <v>80</v>
      </c>
      <c r="O23" s="1">
        <v>80</v>
      </c>
      <c r="P23" s="1">
        <v>120</v>
      </c>
      <c r="Q23" s="1">
        <v>60</v>
      </c>
      <c r="R23" s="1">
        <v>0</v>
      </c>
      <c r="S23" s="1">
        <v>0</v>
      </c>
      <c r="T23" s="1">
        <f t="shared" si="9"/>
        <v>80</v>
      </c>
      <c r="U23" s="1">
        <f t="shared" si="9"/>
        <v>80</v>
      </c>
      <c r="V23" s="1">
        <f t="shared" si="10"/>
        <v>80</v>
      </c>
      <c r="W23" s="1">
        <f t="shared" si="11"/>
        <v>80</v>
      </c>
      <c r="X23" s="1">
        <f t="shared" si="11"/>
        <v>80</v>
      </c>
      <c r="Y23" s="6">
        <v>100</v>
      </c>
      <c r="Z23" s="1">
        <f t="shared" si="11"/>
        <v>80</v>
      </c>
      <c r="AA23" s="1">
        <f t="shared" si="11"/>
        <v>80</v>
      </c>
      <c r="AB23" s="1">
        <f t="shared" si="11"/>
        <v>80</v>
      </c>
      <c r="AC23" s="1">
        <f t="shared" si="11"/>
        <v>80</v>
      </c>
      <c r="AD23" s="1">
        <f t="shared" si="11"/>
        <v>80</v>
      </c>
      <c r="AE23" s="1">
        <f t="shared" si="11"/>
        <v>80</v>
      </c>
      <c r="AF23" s="1">
        <f t="shared" si="11"/>
        <v>80</v>
      </c>
      <c r="AG23" s="1">
        <f t="shared" si="11"/>
        <v>80</v>
      </c>
      <c r="AH23" s="1">
        <f t="shared" si="11"/>
        <v>80</v>
      </c>
      <c r="AI23" s="1">
        <f t="shared" si="11"/>
        <v>80</v>
      </c>
      <c r="AJ23" s="1">
        <f t="shared" si="11"/>
        <v>80</v>
      </c>
      <c r="AK23" s="1">
        <f t="shared" si="7"/>
        <v>80</v>
      </c>
      <c r="AL23" s="1">
        <f t="shared" si="7"/>
        <v>80</v>
      </c>
      <c r="AM23" s="1">
        <f t="shared" si="7"/>
        <v>80</v>
      </c>
      <c r="AN23" s="1">
        <f t="shared" si="7"/>
        <v>80</v>
      </c>
      <c r="AO23" s="1">
        <f t="shared" si="7"/>
        <v>80</v>
      </c>
      <c r="AP23" s="1">
        <f t="shared" si="7"/>
        <v>80</v>
      </c>
    </row>
    <row r="24" spans="1:42" x14ac:dyDescent="0.25">
      <c r="B24" s="1" t="s">
        <v>6</v>
      </c>
      <c r="C24" s="8">
        <f t="shared" ref="C24:H24" si="12">C21/C13</f>
        <v>36.426997245179066</v>
      </c>
      <c r="D24" s="8">
        <f t="shared" ca="1" si="12"/>
        <v>35.230600414078687</v>
      </c>
      <c r="E24" s="8">
        <f t="shared" ca="1" si="12"/>
        <v>35.94744905660378</v>
      </c>
      <c r="F24" s="8">
        <f t="shared" ca="1" si="12"/>
        <v>37.172481065885805</v>
      </c>
      <c r="G24" s="8">
        <f t="shared" ca="1" si="12"/>
        <v>38.705285507313242</v>
      </c>
      <c r="H24" s="8">
        <f t="shared" ca="1" si="12"/>
        <v>40.159028247455289</v>
      </c>
      <c r="M24" s="1" t="s">
        <v>39</v>
      </c>
      <c r="N24" s="40">
        <f t="shared" ca="1" si="4"/>
        <v>25</v>
      </c>
      <c r="O24" s="1">
        <v>25</v>
      </c>
      <c r="P24" s="1">
        <v>27</v>
      </c>
      <c r="Q24" s="1">
        <v>25</v>
      </c>
      <c r="R24" s="1">
        <v>0</v>
      </c>
      <c r="S24" s="1">
        <v>0</v>
      </c>
      <c r="T24" s="1">
        <f t="shared" si="9"/>
        <v>25</v>
      </c>
      <c r="U24" s="1">
        <f t="shared" si="9"/>
        <v>25</v>
      </c>
      <c r="V24" s="1">
        <f t="shared" si="10"/>
        <v>25</v>
      </c>
      <c r="W24" s="1">
        <f t="shared" si="11"/>
        <v>25</v>
      </c>
      <c r="X24" s="1">
        <f t="shared" si="11"/>
        <v>25</v>
      </c>
      <c r="Y24" s="1">
        <f t="shared" si="11"/>
        <v>25</v>
      </c>
      <c r="Z24" s="6">
        <v>27</v>
      </c>
      <c r="AA24" s="1">
        <f t="shared" si="11"/>
        <v>25</v>
      </c>
      <c r="AB24" s="1">
        <f t="shared" si="11"/>
        <v>25</v>
      </c>
      <c r="AC24" s="1">
        <f t="shared" si="11"/>
        <v>25</v>
      </c>
      <c r="AD24" s="1">
        <f t="shared" si="11"/>
        <v>25</v>
      </c>
      <c r="AE24" s="1">
        <f t="shared" si="11"/>
        <v>25</v>
      </c>
      <c r="AF24" s="1">
        <f t="shared" si="11"/>
        <v>25</v>
      </c>
      <c r="AG24" s="1">
        <f t="shared" si="11"/>
        <v>25</v>
      </c>
      <c r="AH24" s="1">
        <f t="shared" si="11"/>
        <v>25</v>
      </c>
      <c r="AI24" s="1">
        <f t="shared" si="11"/>
        <v>25</v>
      </c>
      <c r="AJ24" s="1">
        <f t="shared" si="11"/>
        <v>25</v>
      </c>
      <c r="AK24" s="1">
        <f t="shared" si="7"/>
        <v>25</v>
      </c>
      <c r="AL24" s="1">
        <f t="shared" si="7"/>
        <v>25</v>
      </c>
      <c r="AM24" s="1">
        <f t="shared" si="7"/>
        <v>25</v>
      </c>
      <c r="AN24" s="1">
        <f t="shared" si="7"/>
        <v>25</v>
      </c>
      <c r="AO24" s="1">
        <f t="shared" si="7"/>
        <v>25</v>
      </c>
      <c r="AP24" s="1">
        <f t="shared" si="7"/>
        <v>25</v>
      </c>
    </row>
    <row r="25" spans="1:42" x14ac:dyDescent="0.25">
      <c r="B25" s="9" t="s">
        <v>7</v>
      </c>
      <c r="D25" s="11">
        <f ca="1">D24/C24-1</f>
        <v>-3.2843685221919161E-2</v>
      </c>
      <c r="E25" s="11">
        <f t="shared" ref="E25:H25" ca="1" si="13">E24/D24-1</f>
        <v>2.0347329710527218E-2</v>
      </c>
      <c r="F25" s="11">
        <f t="shared" ca="1" si="13"/>
        <v>3.4078412834052774E-2</v>
      </c>
      <c r="G25" s="11">
        <f t="shared" ca="1" si="13"/>
        <v>4.1234924263210848E-2</v>
      </c>
      <c r="H25" s="11">
        <f t="shared" ca="1" si="13"/>
        <v>3.7559282177814346E-2</v>
      </c>
      <c r="M25" s="1" t="s">
        <v>42</v>
      </c>
      <c r="N25" s="57">
        <f t="shared" ca="1" si="4"/>
        <v>0.2</v>
      </c>
      <c r="O25" s="20">
        <v>0.2</v>
      </c>
      <c r="P25" s="20">
        <v>0.2</v>
      </c>
      <c r="Q25" s="20">
        <v>0.2</v>
      </c>
      <c r="R25" s="20">
        <v>0</v>
      </c>
      <c r="S25" s="20">
        <v>0</v>
      </c>
      <c r="T25" s="20">
        <f t="shared" si="9"/>
        <v>0.2</v>
      </c>
      <c r="U25" s="20">
        <f t="shared" si="9"/>
        <v>0.2</v>
      </c>
      <c r="V25" s="20">
        <f t="shared" si="10"/>
        <v>0.2</v>
      </c>
      <c r="W25" s="10">
        <f t="shared" si="11"/>
        <v>0.2</v>
      </c>
      <c r="X25" s="10">
        <f t="shared" si="11"/>
        <v>0.2</v>
      </c>
      <c r="Y25" s="10">
        <f t="shared" si="11"/>
        <v>0.2</v>
      </c>
      <c r="Z25" s="10">
        <f t="shared" si="11"/>
        <v>0.2</v>
      </c>
      <c r="AA25" s="50">
        <v>0.22</v>
      </c>
      <c r="AB25" s="10">
        <f t="shared" si="11"/>
        <v>0.2</v>
      </c>
      <c r="AC25" s="10">
        <f t="shared" si="11"/>
        <v>0.2</v>
      </c>
      <c r="AD25" s="10">
        <f t="shared" si="11"/>
        <v>0.2</v>
      </c>
      <c r="AE25" s="10">
        <f t="shared" si="11"/>
        <v>0.2</v>
      </c>
      <c r="AF25" s="10">
        <f t="shared" si="11"/>
        <v>0.2</v>
      </c>
      <c r="AG25" s="10">
        <f t="shared" si="11"/>
        <v>0.2</v>
      </c>
      <c r="AH25" s="10">
        <f t="shared" si="11"/>
        <v>0.2</v>
      </c>
      <c r="AI25" s="10">
        <f t="shared" si="11"/>
        <v>0.2</v>
      </c>
      <c r="AJ25" s="10">
        <f t="shared" si="11"/>
        <v>0.2</v>
      </c>
      <c r="AK25" s="10">
        <f t="shared" si="7"/>
        <v>0.2</v>
      </c>
      <c r="AL25" s="10">
        <f t="shared" si="7"/>
        <v>0.2</v>
      </c>
      <c r="AM25" s="10">
        <f t="shared" si="7"/>
        <v>0.2</v>
      </c>
      <c r="AN25" s="10">
        <f t="shared" si="7"/>
        <v>0.2</v>
      </c>
      <c r="AO25" s="10">
        <f t="shared" si="7"/>
        <v>0.2</v>
      </c>
      <c r="AP25" s="10">
        <f t="shared" si="7"/>
        <v>0.2</v>
      </c>
    </row>
    <row r="26" spans="1:42" x14ac:dyDescent="0.25">
      <c r="M26" s="1" t="s">
        <v>40</v>
      </c>
      <c r="N26" s="57">
        <f t="shared" ca="1" si="4"/>
        <v>0.15</v>
      </c>
      <c r="O26" s="20">
        <v>0.15</v>
      </c>
      <c r="P26" s="20">
        <f t="shared" ref="P26:P27" si="14">$O26</f>
        <v>0.15</v>
      </c>
      <c r="Q26" s="20">
        <v>0.15</v>
      </c>
      <c r="R26" s="20">
        <v>0</v>
      </c>
      <c r="S26" s="20">
        <v>0</v>
      </c>
      <c r="T26" s="20">
        <f t="shared" si="9"/>
        <v>0.15</v>
      </c>
      <c r="U26" s="20">
        <f t="shared" si="9"/>
        <v>0.15</v>
      </c>
      <c r="V26" s="20">
        <f t="shared" si="10"/>
        <v>0.15</v>
      </c>
      <c r="W26" s="10">
        <f t="shared" si="11"/>
        <v>0.15</v>
      </c>
      <c r="X26" s="10">
        <f t="shared" si="11"/>
        <v>0.15</v>
      </c>
      <c r="Y26" s="10">
        <f t="shared" si="11"/>
        <v>0.15</v>
      </c>
      <c r="Z26" s="10">
        <f t="shared" si="11"/>
        <v>0.15</v>
      </c>
      <c r="AA26" s="10">
        <f t="shared" si="11"/>
        <v>0.15</v>
      </c>
      <c r="AB26" s="50">
        <v>0.17</v>
      </c>
      <c r="AC26" s="10">
        <f t="shared" si="11"/>
        <v>0.15</v>
      </c>
      <c r="AD26" s="10">
        <f t="shared" si="11"/>
        <v>0.15</v>
      </c>
      <c r="AE26" s="10">
        <f t="shared" si="11"/>
        <v>0.15</v>
      </c>
      <c r="AF26" s="10">
        <f t="shared" si="11"/>
        <v>0.15</v>
      </c>
      <c r="AG26" s="10">
        <f t="shared" si="11"/>
        <v>0.15</v>
      </c>
      <c r="AH26" s="10">
        <f t="shared" si="11"/>
        <v>0.15</v>
      </c>
      <c r="AI26" s="10">
        <f t="shared" si="11"/>
        <v>0.15</v>
      </c>
      <c r="AJ26" s="10">
        <f t="shared" si="11"/>
        <v>0.15</v>
      </c>
      <c r="AK26" s="10">
        <f t="shared" si="7"/>
        <v>0.15</v>
      </c>
      <c r="AL26" s="10">
        <f t="shared" si="7"/>
        <v>0.15</v>
      </c>
      <c r="AM26" s="10">
        <f t="shared" si="7"/>
        <v>0.15</v>
      </c>
      <c r="AN26" s="10">
        <f t="shared" si="7"/>
        <v>0.15</v>
      </c>
      <c r="AO26" s="10">
        <f t="shared" si="7"/>
        <v>0.15</v>
      </c>
      <c r="AP26" s="10">
        <f t="shared" si="7"/>
        <v>0.15</v>
      </c>
    </row>
    <row r="27" spans="1:42" ht="13.5" thickBot="1" x14ac:dyDescent="0.35">
      <c r="B27" s="34" t="s">
        <v>8</v>
      </c>
      <c r="C27" s="34">
        <f>C21+(-4313+1949-3066)</f>
        <v>7793</v>
      </c>
      <c r="D27" s="37">
        <f ca="1">D28*D21</f>
        <v>9894.7103284731184</v>
      </c>
      <c r="E27" s="37">
        <f t="shared" ref="E27:H27" ca="1" si="15">E28*E21</f>
        <v>12021.376601921504</v>
      </c>
      <c r="F27" s="37">
        <f t="shared" ca="1" si="15"/>
        <v>14363.48145838681</v>
      </c>
      <c r="G27" s="37">
        <f t="shared" ca="1" si="15"/>
        <v>16475.102093233647</v>
      </c>
      <c r="H27" s="37">
        <f t="shared" ca="1" si="15"/>
        <v>18619.733446932649</v>
      </c>
      <c r="I27" s="70">
        <f ca="1">_xlfn.RRI(5,C27,H27)</f>
        <v>0.19029266313467841</v>
      </c>
      <c r="M27" s="1" t="s">
        <v>41</v>
      </c>
      <c r="N27" s="57">
        <f t="shared" ca="1" si="4"/>
        <v>0.06</v>
      </c>
      <c r="O27" s="20">
        <v>0.06</v>
      </c>
      <c r="P27" s="20">
        <f t="shared" si="14"/>
        <v>0.06</v>
      </c>
      <c r="Q27" s="20">
        <v>0.05</v>
      </c>
      <c r="R27" s="20">
        <v>0</v>
      </c>
      <c r="S27" s="20">
        <v>0.06</v>
      </c>
      <c r="T27" s="20">
        <f t="shared" si="9"/>
        <v>0.06</v>
      </c>
      <c r="U27" s="20">
        <f t="shared" si="9"/>
        <v>0.06</v>
      </c>
      <c r="V27" s="20">
        <f t="shared" si="10"/>
        <v>0.06</v>
      </c>
      <c r="W27" s="10">
        <f t="shared" si="11"/>
        <v>0.06</v>
      </c>
      <c r="X27" s="10">
        <f t="shared" si="11"/>
        <v>0.06</v>
      </c>
      <c r="Y27" s="10">
        <f t="shared" si="11"/>
        <v>0.06</v>
      </c>
      <c r="Z27" s="10">
        <f t="shared" si="11"/>
        <v>0.06</v>
      </c>
      <c r="AA27" s="10">
        <f t="shared" si="11"/>
        <v>0.06</v>
      </c>
      <c r="AB27" s="10">
        <f t="shared" si="11"/>
        <v>0.06</v>
      </c>
      <c r="AC27" s="50">
        <v>0.08</v>
      </c>
      <c r="AD27" s="10">
        <f t="shared" si="11"/>
        <v>0.06</v>
      </c>
      <c r="AE27" s="10">
        <f t="shared" si="11"/>
        <v>0.06</v>
      </c>
      <c r="AF27" s="10">
        <f t="shared" si="11"/>
        <v>0.06</v>
      </c>
      <c r="AG27" s="10">
        <f t="shared" si="11"/>
        <v>0.06</v>
      </c>
      <c r="AH27" s="10">
        <f t="shared" si="11"/>
        <v>0.06</v>
      </c>
      <c r="AI27" s="10">
        <f t="shared" si="11"/>
        <v>0.06</v>
      </c>
      <c r="AJ27" s="10">
        <f t="shared" si="11"/>
        <v>0.06</v>
      </c>
      <c r="AK27" s="10">
        <f t="shared" si="7"/>
        <v>0.06</v>
      </c>
      <c r="AL27" s="10">
        <f t="shared" si="7"/>
        <v>0.06</v>
      </c>
      <c r="AM27" s="10">
        <f t="shared" si="7"/>
        <v>0.06</v>
      </c>
      <c r="AN27" s="10">
        <f t="shared" si="7"/>
        <v>0.06</v>
      </c>
      <c r="AO27" s="10">
        <f t="shared" si="7"/>
        <v>0.06</v>
      </c>
      <c r="AP27" s="10">
        <f t="shared" si="7"/>
        <v>0.06</v>
      </c>
    </row>
    <row r="28" spans="1:42" x14ac:dyDescent="0.25">
      <c r="B28" s="9" t="s">
        <v>9</v>
      </c>
      <c r="C28" s="11">
        <f>C27/C21</f>
        <v>0.58935188686379791</v>
      </c>
      <c r="D28" s="11">
        <f ca="1">C28+($H28-$C28)/5</f>
        <v>0.58148150949103838</v>
      </c>
      <c r="E28" s="11">
        <f t="shared" ref="E28:G28" ca="1" si="16">D28+($H28-$C28)/5</f>
        <v>0.57361113211827885</v>
      </c>
      <c r="F28" s="11">
        <f t="shared" ca="1" si="16"/>
        <v>0.56574075474551933</v>
      </c>
      <c r="G28" s="11">
        <f t="shared" ca="1" si="16"/>
        <v>0.5578703773727598</v>
      </c>
      <c r="H28" s="11">
        <f ca="1">$N$28</f>
        <v>0.55000000000000004</v>
      </c>
      <c r="I28" s="25"/>
      <c r="M28" s="19" t="s">
        <v>9</v>
      </c>
      <c r="N28" s="61">
        <f t="shared" ca="1" si="4"/>
        <v>0.55000000000000004</v>
      </c>
      <c r="O28" s="62">
        <v>0.55000000000000004</v>
      </c>
      <c r="P28" s="62">
        <f>$O28</f>
        <v>0.55000000000000004</v>
      </c>
      <c r="Q28" s="62">
        <f>$O28</f>
        <v>0.55000000000000004</v>
      </c>
      <c r="R28" s="62">
        <v>0.59</v>
      </c>
      <c r="S28" s="62">
        <v>0.59</v>
      </c>
      <c r="T28" s="62">
        <v>0.59</v>
      </c>
      <c r="U28" s="62">
        <f t="shared" si="9"/>
        <v>0.55000000000000004</v>
      </c>
      <c r="V28" s="62">
        <f t="shared" si="9"/>
        <v>0.55000000000000004</v>
      </c>
      <c r="W28" s="62">
        <f t="shared" si="11"/>
        <v>0.55000000000000004</v>
      </c>
      <c r="X28" s="62">
        <f t="shared" si="11"/>
        <v>0.55000000000000004</v>
      </c>
      <c r="Y28" s="62">
        <f t="shared" si="11"/>
        <v>0.55000000000000004</v>
      </c>
      <c r="Z28" s="62">
        <f t="shared" si="11"/>
        <v>0.55000000000000004</v>
      </c>
      <c r="AA28" s="62">
        <f t="shared" si="11"/>
        <v>0.55000000000000004</v>
      </c>
      <c r="AB28" s="62">
        <f t="shared" si="11"/>
        <v>0.55000000000000004</v>
      </c>
      <c r="AC28" s="62">
        <f t="shared" ref="AC28:AJ28" si="17">$O28</f>
        <v>0.55000000000000004</v>
      </c>
      <c r="AD28" s="74">
        <v>0.56000000000000005</v>
      </c>
      <c r="AE28" s="62">
        <f t="shared" si="17"/>
        <v>0.55000000000000004</v>
      </c>
      <c r="AF28" s="62">
        <f t="shared" si="17"/>
        <v>0.55000000000000004</v>
      </c>
      <c r="AG28" s="62">
        <f t="shared" si="17"/>
        <v>0.55000000000000004</v>
      </c>
      <c r="AH28" s="62">
        <f t="shared" si="17"/>
        <v>0.55000000000000004</v>
      </c>
      <c r="AI28" s="62">
        <f t="shared" si="17"/>
        <v>0.55000000000000004</v>
      </c>
      <c r="AJ28" s="62">
        <f t="shared" si="17"/>
        <v>0.55000000000000004</v>
      </c>
      <c r="AK28" s="62">
        <f t="shared" si="7"/>
        <v>0.55000000000000004</v>
      </c>
      <c r="AL28" s="62">
        <f t="shared" si="7"/>
        <v>0.55000000000000004</v>
      </c>
      <c r="AM28" s="62">
        <f t="shared" si="7"/>
        <v>0.55000000000000004</v>
      </c>
      <c r="AN28" s="62">
        <f t="shared" si="7"/>
        <v>0.55000000000000004</v>
      </c>
      <c r="AO28" s="62">
        <f t="shared" si="7"/>
        <v>0.55000000000000004</v>
      </c>
      <c r="AP28" s="62">
        <f t="shared" si="7"/>
        <v>0.55000000000000004</v>
      </c>
    </row>
    <row r="29" spans="1:42" x14ac:dyDescent="0.25">
      <c r="B29" s="9" t="s">
        <v>7</v>
      </c>
      <c r="D29" s="11">
        <f ca="1">D27/C27-1</f>
        <v>0.26969207345991508</v>
      </c>
      <c r="E29" s="11">
        <f t="shared" ref="E29:H29" ca="1" si="18">E27/D27-1</f>
        <v>0.21492961419281453</v>
      </c>
      <c r="F29" s="11">
        <f t="shared" ca="1" si="18"/>
        <v>0.19482834071523425</v>
      </c>
      <c r="G29" s="11">
        <f t="shared" ca="1" si="18"/>
        <v>0.14701314865511694</v>
      </c>
      <c r="H29" s="11">
        <f t="shared" ca="1" si="18"/>
        <v>0.13017408581521361</v>
      </c>
      <c r="M29" s="1" t="str">
        <f>B32</f>
        <v>Staff Costs</v>
      </c>
      <c r="N29" s="57">
        <f t="shared" ca="1" si="4"/>
        <v>0.26</v>
      </c>
      <c r="O29" s="20">
        <v>0.26</v>
      </c>
      <c r="P29" s="20">
        <v>0.26</v>
      </c>
      <c r="Q29" s="20">
        <v>0.26</v>
      </c>
      <c r="R29" s="20">
        <v>0.25</v>
      </c>
      <c r="S29" s="20">
        <v>0.25</v>
      </c>
      <c r="T29" s="20">
        <v>0.25</v>
      </c>
      <c r="U29" s="20">
        <v>0.26</v>
      </c>
      <c r="V29" s="20">
        <f t="shared" si="10"/>
        <v>0.26</v>
      </c>
      <c r="W29" s="10">
        <f t="shared" si="11"/>
        <v>0.26</v>
      </c>
      <c r="X29" s="10">
        <f t="shared" si="11"/>
        <v>0.26</v>
      </c>
      <c r="Y29" s="10">
        <f t="shared" si="11"/>
        <v>0.26</v>
      </c>
      <c r="Z29" s="10">
        <f t="shared" si="11"/>
        <v>0.26</v>
      </c>
      <c r="AA29" s="10">
        <f t="shared" si="11"/>
        <v>0.26</v>
      </c>
      <c r="AB29" s="10">
        <f t="shared" si="11"/>
        <v>0.26</v>
      </c>
      <c r="AC29" s="10">
        <f t="shared" si="11"/>
        <v>0.26</v>
      </c>
      <c r="AD29" s="10">
        <f t="shared" si="11"/>
        <v>0.26</v>
      </c>
      <c r="AE29" s="50">
        <v>0.27</v>
      </c>
      <c r="AF29" s="10">
        <f t="shared" si="11"/>
        <v>0.26</v>
      </c>
      <c r="AG29" s="10">
        <f t="shared" si="11"/>
        <v>0.26</v>
      </c>
      <c r="AH29" s="10">
        <f t="shared" si="11"/>
        <v>0.26</v>
      </c>
      <c r="AI29" s="10">
        <f t="shared" si="11"/>
        <v>0.26</v>
      </c>
      <c r="AJ29" s="10">
        <f t="shared" si="11"/>
        <v>0.26</v>
      </c>
      <c r="AK29" s="10">
        <f t="shared" si="7"/>
        <v>0.26</v>
      </c>
      <c r="AL29" s="10">
        <f t="shared" si="7"/>
        <v>0.26</v>
      </c>
      <c r="AM29" s="10">
        <f t="shared" si="7"/>
        <v>0.26</v>
      </c>
      <c r="AN29" s="10">
        <f t="shared" si="7"/>
        <v>0.26</v>
      </c>
      <c r="AO29" s="10">
        <f t="shared" si="7"/>
        <v>0.26</v>
      </c>
      <c r="AP29" s="10">
        <f t="shared" si="7"/>
        <v>0.26</v>
      </c>
    </row>
    <row r="30" spans="1:42" x14ac:dyDescent="0.25">
      <c r="M30" s="1" t="str">
        <f>B33</f>
        <v>Property Rentals</v>
      </c>
      <c r="N30" s="57">
        <f t="shared" ca="1" si="4"/>
        <v>0.04</v>
      </c>
      <c r="O30" s="20">
        <v>0.04</v>
      </c>
      <c r="P30" s="20">
        <v>0.04</v>
      </c>
      <c r="Q30" s="20">
        <v>0.04</v>
      </c>
      <c r="R30" s="20">
        <v>0.04</v>
      </c>
      <c r="S30" s="20">
        <v>0.04</v>
      </c>
      <c r="T30" s="20">
        <v>0.04</v>
      </c>
      <c r="U30" s="20">
        <f t="shared" si="9"/>
        <v>0.04</v>
      </c>
      <c r="V30" s="20">
        <f t="shared" si="10"/>
        <v>0.04</v>
      </c>
      <c r="W30" s="10">
        <f t="shared" si="11"/>
        <v>0.04</v>
      </c>
      <c r="X30" s="10">
        <f t="shared" si="11"/>
        <v>0.04</v>
      </c>
      <c r="Y30" s="10">
        <f t="shared" si="11"/>
        <v>0.04</v>
      </c>
      <c r="Z30" s="10">
        <f t="shared" si="11"/>
        <v>0.04</v>
      </c>
      <c r="AA30" s="10">
        <f t="shared" si="11"/>
        <v>0.04</v>
      </c>
      <c r="AB30" s="10">
        <f t="shared" si="11"/>
        <v>0.04</v>
      </c>
      <c r="AC30" s="10">
        <f t="shared" si="11"/>
        <v>0.04</v>
      </c>
      <c r="AD30" s="10">
        <f t="shared" si="11"/>
        <v>0.04</v>
      </c>
      <c r="AE30" s="10">
        <f t="shared" si="11"/>
        <v>0.04</v>
      </c>
      <c r="AF30" s="50">
        <v>0.05</v>
      </c>
      <c r="AG30" s="10">
        <f t="shared" si="11"/>
        <v>0.04</v>
      </c>
      <c r="AH30" s="10">
        <f t="shared" si="11"/>
        <v>0.04</v>
      </c>
      <c r="AI30" s="10">
        <f t="shared" si="11"/>
        <v>0.04</v>
      </c>
      <c r="AJ30" s="10">
        <f t="shared" ref="AJ30:AP40" si="19">$O30</f>
        <v>0.04</v>
      </c>
      <c r="AK30" s="10">
        <f t="shared" si="19"/>
        <v>0.04</v>
      </c>
      <c r="AL30" s="10">
        <f t="shared" si="19"/>
        <v>0.04</v>
      </c>
      <c r="AM30" s="10">
        <f t="shared" si="19"/>
        <v>0.04</v>
      </c>
      <c r="AN30" s="10">
        <f t="shared" si="19"/>
        <v>0.04</v>
      </c>
      <c r="AO30" s="10">
        <f t="shared" si="19"/>
        <v>0.04</v>
      </c>
      <c r="AP30" s="10">
        <f t="shared" si="19"/>
        <v>0.04</v>
      </c>
    </row>
    <row r="31" spans="1:42" ht="13" x14ac:dyDescent="0.3">
      <c r="B31" s="13" t="s">
        <v>10</v>
      </c>
      <c r="C31" s="13"/>
      <c r="D31" s="13"/>
      <c r="E31" s="13"/>
      <c r="F31" s="13"/>
      <c r="G31" s="13"/>
      <c r="H31" s="13"/>
      <c r="I31" s="26"/>
      <c r="J31" s="26"/>
      <c r="M31" s="1" t="str">
        <f>B34</f>
        <v>Utilities Expense</v>
      </c>
      <c r="N31" s="57">
        <f t="shared" ca="1" si="4"/>
        <v>0.03</v>
      </c>
      <c r="O31" s="20">
        <v>0.03</v>
      </c>
      <c r="P31" s="20">
        <v>0.03</v>
      </c>
      <c r="Q31" s="20">
        <v>0.03</v>
      </c>
      <c r="R31" s="20">
        <v>0.03</v>
      </c>
      <c r="S31" s="20">
        <v>0.03</v>
      </c>
      <c r="T31" s="20">
        <v>0.03</v>
      </c>
      <c r="U31" s="20">
        <f t="shared" si="9"/>
        <v>0.03</v>
      </c>
      <c r="V31" s="20">
        <f t="shared" si="10"/>
        <v>0.03</v>
      </c>
      <c r="W31" s="10">
        <f t="shared" si="11"/>
        <v>0.03</v>
      </c>
      <c r="X31" s="10">
        <f t="shared" si="11"/>
        <v>0.03</v>
      </c>
      <c r="Y31" s="10">
        <f t="shared" si="11"/>
        <v>0.03</v>
      </c>
      <c r="Z31" s="10">
        <f t="shared" si="11"/>
        <v>0.03</v>
      </c>
      <c r="AA31" s="10">
        <f t="shared" si="11"/>
        <v>0.03</v>
      </c>
      <c r="AB31" s="10">
        <f t="shared" si="11"/>
        <v>0.03</v>
      </c>
      <c r="AC31" s="10">
        <f t="shared" si="11"/>
        <v>0.03</v>
      </c>
      <c r="AD31" s="10">
        <f t="shared" si="11"/>
        <v>0.03</v>
      </c>
      <c r="AE31" s="10">
        <f t="shared" si="11"/>
        <v>0.03</v>
      </c>
      <c r="AF31" s="10">
        <f t="shared" si="11"/>
        <v>0.03</v>
      </c>
      <c r="AG31" s="50">
        <v>0.04</v>
      </c>
      <c r="AH31" s="10">
        <f t="shared" si="11"/>
        <v>0.03</v>
      </c>
      <c r="AI31" s="10">
        <f t="shared" si="11"/>
        <v>0.03</v>
      </c>
      <c r="AJ31" s="10">
        <f t="shared" si="19"/>
        <v>0.03</v>
      </c>
      <c r="AK31" s="10">
        <f t="shared" si="19"/>
        <v>0.03</v>
      </c>
      <c r="AL31" s="10">
        <f t="shared" si="19"/>
        <v>0.03</v>
      </c>
      <c r="AM31" s="10">
        <f t="shared" si="19"/>
        <v>0.03</v>
      </c>
      <c r="AN31" s="10">
        <f t="shared" si="19"/>
        <v>0.03</v>
      </c>
      <c r="AO31" s="10">
        <f t="shared" si="19"/>
        <v>0.03</v>
      </c>
      <c r="AP31" s="10">
        <f t="shared" si="19"/>
        <v>0.03</v>
      </c>
    </row>
    <row r="32" spans="1:42" x14ac:dyDescent="0.25">
      <c r="B32" s="1" t="s">
        <v>11</v>
      </c>
      <c r="C32" s="28">
        <f>-3119+1930-2202</f>
        <v>-3391</v>
      </c>
      <c r="D32" s="14">
        <f t="shared" ref="D32:H36" ca="1" si="20">D110*-D$21</f>
        <v>-4375.8927994010446</v>
      </c>
      <c r="E32" s="14">
        <f t="shared" ca="1" si="20"/>
        <v>-5404.2386762865917</v>
      </c>
      <c r="F32" s="14">
        <f t="shared" ca="1" si="20"/>
        <v>-6565.007631645678</v>
      </c>
      <c r="G32" s="14">
        <f t="shared" ca="1" si="20"/>
        <v>-7657.3695945118379</v>
      </c>
      <c r="H32" s="14">
        <f t="shared" ca="1" si="20"/>
        <v>-8802.0558112772505</v>
      </c>
      <c r="M32" s="1" t="str">
        <f>B35</f>
        <v>Traveling Expenses</v>
      </c>
      <c r="N32" s="57">
        <f t="shared" ca="1" si="4"/>
        <v>0.01</v>
      </c>
      <c r="O32" s="20">
        <v>0.01</v>
      </c>
      <c r="P32" s="20">
        <v>0.01</v>
      </c>
      <c r="Q32" s="20">
        <v>0.01</v>
      </c>
      <c r="R32" s="20">
        <v>0.01</v>
      </c>
      <c r="S32" s="20">
        <v>0.01</v>
      </c>
      <c r="T32" s="20">
        <v>0.01</v>
      </c>
      <c r="U32" s="20">
        <f t="shared" si="9"/>
        <v>0.01</v>
      </c>
      <c r="V32" s="20">
        <f t="shared" si="10"/>
        <v>0.01</v>
      </c>
      <c r="W32" s="10">
        <f t="shared" si="11"/>
        <v>0.01</v>
      </c>
      <c r="X32" s="10">
        <f t="shared" si="11"/>
        <v>0.01</v>
      </c>
      <c r="Y32" s="10">
        <f t="shared" si="11"/>
        <v>0.01</v>
      </c>
      <c r="Z32" s="10">
        <f t="shared" si="11"/>
        <v>0.01</v>
      </c>
      <c r="AA32" s="10">
        <f t="shared" si="11"/>
        <v>0.01</v>
      </c>
      <c r="AB32" s="10">
        <f t="shared" si="11"/>
        <v>0.01</v>
      </c>
      <c r="AC32" s="10">
        <f t="shared" si="11"/>
        <v>0.01</v>
      </c>
      <c r="AD32" s="10">
        <f t="shared" si="11"/>
        <v>0.01</v>
      </c>
      <c r="AE32" s="10">
        <f t="shared" si="11"/>
        <v>0.01</v>
      </c>
      <c r="AF32" s="10">
        <f t="shared" si="11"/>
        <v>0.01</v>
      </c>
      <c r="AG32" s="10">
        <f t="shared" si="11"/>
        <v>0.01</v>
      </c>
      <c r="AH32" s="50">
        <v>0.02</v>
      </c>
      <c r="AI32" s="10">
        <f t="shared" si="11"/>
        <v>0.01</v>
      </c>
      <c r="AJ32" s="10">
        <f t="shared" si="19"/>
        <v>0.01</v>
      </c>
      <c r="AK32" s="10">
        <f t="shared" si="19"/>
        <v>0.01</v>
      </c>
      <c r="AL32" s="10">
        <f t="shared" si="19"/>
        <v>0.01</v>
      </c>
      <c r="AM32" s="10">
        <f t="shared" si="19"/>
        <v>0.01</v>
      </c>
      <c r="AN32" s="10">
        <f t="shared" si="19"/>
        <v>0.01</v>
      </c>
      <c r="AO32" s="10">
        <f t="shared" si="19"/>
        <v>0.01</v>
      </c>
      <c r="AP32" s="10">
        <f t="shared" si="19"/>
        <v>0.01</v>
      </c>
    </row>
    <row r="33" spans="2:43" x14ac:dyDescent="0.25">
      <c r="B33" s="1" t="s">
        <v>12</v>
      </c>
      <c r="C33" s="28">
        <f>-414+179-272</f>
        <v>-507</v>
      </c>
      <c r="D33" s="14">
        <f t="shared" ca="1" si="20"/>
        <v>-658.08851772820105</v>
      </c>
      <c r="E33" s="14">
        <f t="shared" ca="1" si="20"/>
        <v>-817.44967833550641</v>
      </c>
      <c r="F33" s="14">
        <f t="shared" ca="1" si="20"/>
        <v>-998.71719531530937</v>
      </c>
      <c r="G33" s="14">
        <f t="shared" ca="1" si="20"/>
        <v>-1171.4941263293713</v>
      </c>
      <c r="H33" s="14">
        <f t="shared" ca="1" si="20"/>
        <v>-1354.1624325041923</v>
      </c>
      <c r="M33" s="1" t="str">
        <f>B36</f>
        <v>Other Expenses</v>
      </c>
      <c r="N33" s="57">
        <f t="shared" ca="1" si="4"/>
        <v>0.04</v>
      </c>
      <c r="O33" s="20">
        <v>0.04</v>
      </c>
      <c r="P33" s="20">
        <v>0.04</v>
      </c>
      <c r="Q33" s="20">
        <v>0.04</v>
      </c>
      <c r="R33" s="20">
        <v>0.04</v>
      </c>
      <c r="S33" s="20">
        <v>0.04</v>
      </c>
      <c r="T33" s="20">
        <v>0.04</v>
      </c>
      <c r="U33" s="20">
        <f t="shared" si="9"/>
        <v>0.04</v>
      </c>
      <c r="V33" s="20">
        <f t="shared" si="10"/>
        <v>0.04</v>
      </c>
      <c r="W33" s="10">
        <f t="shared" si="11"/>
        <v>0.04</v>
      </c>
      <c r="X33" s="10">
        <f t="shared" si="11"/>
        <v>0.04</v>
      </c>
      <c r="Y33" s="10">
        <f t="shared" si="11"/>
        <v>0.04</v>
      </c>
      <c r="Z33" s="10">
        <f t="shared" si="11"/>
        <v>0.04</v>
      </c>
      <c r="AA33" s="10">
        <f t="shared" si="11"/>
        <v>0.04</v>
      </c>
      <c r="AB33" s="10">
        <f t="shared" si="11"/>
        <v>0.04</v>
      </c>
      <c r="AC33" s="10">
        <f t="shared" si="11"/>
        <v>0.04</v>
      </c>
      <c r="AD33" s="10">
        <f t="shared" si="11"/>
        <v>0.04</v>
      </c>
      <c r="AE33" s="10">
        <f t="shared" si="11"/>
        <v>0.04</v>
      </c>
      <c r="AF33" s="10">
        <f t="shared" si="11"/>
        <v>0.04</v>
      </c>
      <c r="AG33" s="10">
        <f t="shared" si="11"/>
        <v>0.04</v>
      </c>
      <c r="AH33" s="10">
        <f t="shared" si="11"/>
        <v>0.04</v>
      </c>
      <c r="AI33" s="50">
        <v>0.05</v>
      </c>
      <c r="AJ33" s="10">
        <f t="shared" si="19"/>
        <v>0.04</v>
      </c>
      <c r="AK33" s="10">
        <f t="shared" si="19"/>
        <v>0.04</v>
      </c>
      <c r="AL33" s="10">
        <f t="shared" si="19"/>
        <v>0.04</v>
      </c>
      <c r="AM33" s="10">
        <f t="shared" si="19"/>
        <v>0.04</v>
      </c>
      <c r="AN33" s="10">
        <f t="shared" si="19"/>
        <v>0.04</v>
      </c>
      <c r="AO33" s="10">
        <f t="shared" si="19"/>
        <v>0.04</v>
      </c>
      <c r="AP33" s="10">
        <f t="shared" si="19"/>
        <v>0.04</v>
      </c>
    </row>
    <row r="34" spans="2:43" x14ac:dyDescent="0.25">
      <c r="B34" s="1" t="s">
        <v>13</v>
      </c>
      <c r="C34" s="28">
        <f>-348+149-254</f>
        <v>-453</v>
      </c>
      <c r="D34" s="14">
        <f t="shared" ca="1" si="20"/>
        <v>-568.46265359146958</v>
      </c>
      <c r="E34" s="14">
        <f t="shared" ca="1" si="20"/>
        <v>-682.26890332699088</v>
      </c>
      <c r="F34" s="14">
        <f t="shared" ca="1" si="20"/>
        <v>-804.91131499429423</v>
      </c>
      <c r="G34" s="14">
        <f t="shared" ca="1" si="20"/>
        <v>-911.11643781231339</v>
      </c>
      <c r="H34" s="14">
        <f t="shared" ca="1" si="20"/>
        <v>-1015.6218243781443</v>
      </c>
      <c r="M34" s="18" t="s">
        <v>43</v>
      </c>
      <c r="N34" s="58">
        <f t="shared" ca="1" si="4"/>
        <v>0.03</v>
      </c>
      <c r="O34" s="51">
        <v>0.03</v>
      </c>
      <c r="P34" s="51">
        <v>0.03</v>
      </c>
      <c r="Q34" s="51">
        <v>0.03</v>
      </c>
      <c r="R34" s="51">
        <v>0.03</v>
      </c>
      <c r="S34" s="51">
        <v>0.03</v>
      </c>
      <c r="T34" s="51">
        <v>0.03</v>
      </c>
      <c r="U34" s="51">
        <f t="shared" si="9"/>
        <v>0.03</v>
      </c>
      <c r="V34" s="51">
        <f t="shared" si="10"/>
        <v>0.03</v>
      </c>
      <c r="W34" s="52">
        <f t="shared" si="11"/>
        <v>0.03</v>
      </c>
      <c r="X34" s="52">
        <f t="shared" si="11"/>
        <v>0.03</v>
      </c>
      <c r="Y34" s="52">
        <f t="shared" si="11"/>
        <v>0.03</v>
      </c>
      <c r="Z34" s="52">
        <f t="shared" si="11"/>
        <v>0.03</v>
      </c>
      <c r="AA34" s="52">
        <f t="shared" si="11"/>
        <v>0.03</v>
      </c>
      <c r="AB34" s="52">
        <f t="shared" si="11"/>
        <v>0.03</v>
      </c>
      <c r="AC34" s="52">
        <f t="shared" si="11"/>
        <v>0.03</v>
      </c>
      <c r="AD34" s="52">
        <f t="shared" si="11"/>
        <v>0.03</v>
      </c>
      <c r="AE34" s="52">
        <f t="shared" si="11"/>
        <v>0.03</v>
      </c>
      <c r="AF34" s="52">
        <f t="shared" si="11"/>
        <v>0.03</v>
      </c>
      <c r="AG34" s="52">
        <f t="shared" si="11"/>
        <v>0.03</v>
      </c>
      <c r="AH34" s="52">
        <f t="shared" si="11"/>
        <v>0.03</v>
      </c>
      <c r="AI34" s="52">
        <f t="shared" si="11"/>
        <v>0.03</v>
      </c>
      <c r="AJ34" s="53">
        <v>0.04</v>
      </c>
      <c r="AK34" s="52">
        <f t="shared" si="19"/>
        <v>0.03</v>
      </c>
      <c r="AL34" s="52">
        <f t="shared" si="19"/>
        <v>0.03</v>
      </c>
      <c r="AM34" s="52">
        <f t="shared" si="19"/>
        <v>0.03</v>
      </c>
      <c r="AN34" s="52">
        <f t="shared" si="19"/>
        <v>0.03</v>
      </c>
      <c r="AO34" s="52">
        <f t="shared" si="19"/>
        <v>0.03</v>
      </c>
      <c r="AP34" s="52">
        <f t="shared" si="19"/>
        <v>0.03</v>
      </c>
    </row>
    <row r="35" spans="2:43" x14ac:dyDescent="0.25">
      <c r="B35" s="1" t="s">
        <v>14</v>
      </c>
      <c r="C35" s="28">
        <f>-120+48-72</f>
        <v>-144</v>
      </c>
      <c r="D35" s="14">
        <f t="shared" ca="1" si="20"/>
        <v>-182.28103769795058</v>
      </c>
      <c r="E35" s="14">
        <f t="shared" ca="1" si="20"/>
        <v>-220.76631468937458</v>
      </c>
      <c r="F35" s="14">
        <f t="shared" ca="1" si="20"/>
        <v>-262.92763517604055</v>
      </c>
      <c r="G35" s="14">
        <f t="shared" ca="1" si="20"/>
        <v>-300.5787314844207</v>
      </c>
      <c r="H35" s="14">
        <f t="shared" ca="1" si="20"/>
        <v>-338.54060812604808</v>
      </c>
      <c r="M35" s="1" t="s">
        <v>48</v>
      </c>
      <c r="N35" s="57">
        <f t="shared" ca="1" si="4"/>
        <v>0.03</v>
      </c>
      <c r="O35" s="20">
        <v>0.03</v>
      </c>
      <c r="P35" s="20">
        <v>0.03</v>
      </c>
      <c r="Q35" s="20">
        <v>0.03</v>
      </c>
      <c r="R35" s="20">
        <v>0.03</v>
      </c>
      <c r="S35" s="20">
        <v>0.03</v>
      </c>
      <c r="T35" s="20">
        <v>0.03</v>
      </c>
      <c r="U35" s="20">
        <f t="shared" si="9"/>
        <v>0.03</v>
      </c>
      <c r="V35" s="20">
        <f t="shared" si="10"/>
        <v>0.03</v>
      </c>
      <c r="W35" s="10">
        <f t="shared" si="11"/>
        <v>0.03</v>
      </c>
      <c r="X35" s="10">
        <f t="shared" si="11"/>
        <v>0.03</v>
      </c>
      <c r="Y35" s="10">
        <f t="shared" si="11"/>
        <v>0.03</v>
      </c>
      <c r="Z35" s="10">
        <f t="shared" si="11"/>
        <v>0.03</v>
      </c>
      <c r="AA35" s="10">
        <f t="shared" si="11"/>
        <v>0.03</v>
      </c>
      <c r="AB35" s="10">
        <f t="shared" si="11"/>
        <v>0.03</v>
      </c>
      <c r="AC35" s="10">
        <f t="shared" si="11"/>
        <v>0.03</v>
      </c>
      <c r="AD35" s="10">
        <f t="shared" si="11"/>
        <v>0.03</v>
      </c>
      <c r="AE35" s="10">
        <f t="shared" si="11"/>
        <v>0.03</v>
      </c>
      <c r="AF35" s="10">
        <f t="shared" si="11"/>
        <v>0.03</v>
      </c>
      <c r="AG35" s="10">
        <f t="shared" si="11"/>
        <v>0.03</v>
      </c>
      <c r="AH35" s="10">
        <f t="shared" si="11"/>
        <v>0.03</v>
      </c>
      <c r="AI35" s="10">
        <f t="shared" si="11"/>
        <v>0.03</v>
      </c>
      <c r="AJ35" s="10">
        <f t="shared" si="19"/>
        <v>0.03</v>
      </c>
      <c r="AK35" s="50">
        <v>0.04</v>
      </c>
      <c r="AL35" s="10">
        <f t="shared" si="19"/>
        <v>0.03</v>
      </c>
      <c r="AM35" s="10">
        <f t="shared" si="19"/>
        <v>0.03</v>
      </c>
      <c r="AN35" s="10">
        <f t="shared" si="19"/>
        <v>0.03</v>
      </c>
      <c r="AO35" s="10">
        <f t="shared" si="19"/>
        <v>0.03</v>
      </c>
      <c r="AP35" s="10">
        <f t="shared" si="19"/>
        <v>0.03</v>
      </c>
    </row>
    <row r="36" spans="2:43" x14ac:dyDescent="0.25">
      <c r="B36" s="1" t="s">
        <v>15</v>
      </c>
      <c r="C36" s="28">
        <f>-445+161-303</f>
        <v>-587</v>
      </c>
      <c r="D36" s="14">
        <f t="shared" ca="1" si="20"/>
        <v>-740.44867200484032</v>
      </c>
      <c r="E36" s="14">
        <f t="shared" ca="1" si="20"/>
        <v>-893.52571360738125</v>
      </c>
      <c r="F36" s="14">
        <f t="shared" ca="1" si="20"/>
        <v>-1060.1587551864434</v>
      </c>
      <c r="G36" s="14">
        <f t="shared" ca="1" si="20"/>
        <v>-1207.2283867448052</v>
      </c>
      <c r="H36" s="14">
        <f t="shared" ca="1" si="20"/>
        <v>-1354.1624325041923</v>
      </c>
      <c r="M36" s="1" t="s">
        <v>49</v>
      </c>
      <c r="N36" s="60">
        <f t="shared" ca="1" si="4"/>
        <v>6.02</v>
      </c>
      <c r="O36" s="23">
        <f>(1*0.75+0.5*25%)*6.88</f>
        <v>6.02</v>
      </c>
      <c r="P36" s="23">
        <f t="shared" ref="P36:AP36" si="21">(1*0.75+0.5*25%)*6.88</f>
        <v>6.02</v>
      </c>
      <c r="Q36" s="23">
        <f t="shared" si="21"/>
        <v>6.02</v>
      </c>
      <c r="R36" s="23">
        <f t="shared" si="21"/>
        <v>6.02</v>
      </c>
      <c r="S36" s="23">
        <f t="shared" si="21"/>
        <v>6.02</v>
      </c>
      <c r="T36" s="23">
        <f t="shared" si="21"/>
        <v>6.02</v>
      </c>
      <c r="U36" s="23">
        <f t="shared" si="21"/>
        <v>6.02</v>
      </c>
      <c r="V36" s="23">
        <f t="shared" si="21"/>
        <v>6.02</v>
      </c>
      <c r="W36" s="23">
        <f t="shared" si="21"/>
        <v>6.02</v>
      </c>
      <c r="X36" s="23">
        <f t="shared" si="21"/>
        <v>6.02</v>
      </c>
      <c r="Y36" s="23">
        <f t="shared" si="21"/>
        <v>6.02</v>
      </c>
      <c r="Z36" s="23">
        <f t="shared" si="21"/>
        <v>6.02</v>
      </c>
      <c r="AA36" s="23">
        <f t="shared" si="21"/>
        <v>6.02</v>
      </c>
      <c r="AB36" s="23">
        <f t="shared" si="21"/>
        <v>6.02</v>
      </c>
      <c r="AC36" s="23">
        <f t="shared" si="21"/>
        <v>6.02</v>
      </c>
      <c r="AD36" s="23">
        <f t="shared" si="21"/>
        <v>6.02</v>
      </c>
      <c r="AE36" s="23">
        <f t="shared" si="21"/>
        <v>6.02</v>
      </c>
      <c r="AF36" s="23">
        <f t="shared" si="21"/>
        <v>6.02</v>
      </c>
      <c r="AG36" s="23">
        <f t="shared" si="21"/>
        <v>6.02</v>
      </c>
      <c r="AH36" s="23">
        <f t="shared" si="21"/>
        <v>6.02</v>
      </c>
      <c r="AI36" s="23">
        <f t="shared" si="21"/>
        <v>6.02</v>
      </c>
      <c r="AJ36" s="23">
        <f t="shared" si="21"/>
        <v>6.02</v>
      </c>
      <c r="AK36" s="23">
        <f t="shared" si="21"/>
        <v>6.02</v>
      </c>
      <c r="AL36" s="23">
        <v>7</v>
      </c>
      <c r="AM36" s="23">
        <f t="shared" si="21"/>
        <v>6.02</v>
      </c>
      <c r="AN36" s="23">
        <f t="shared" si="21"/>
        <v>6.02</v>
      </c>
      <c r="AO36" s="23">
        <f t="shared" si="21"/>
        <v>6.02</v>
      </c>
      <c r="AP36" s="23">
        <f t="shared" si="21"/>
        <v>6.02</v>
      </c>
    </row>
    <row r="37" spans="2:43" ht="13" x14ac:dyDescent="0.3">
      <c r="B37" s="38" t="s">
        <v>16</v>
      </c>
      <c r="C37" s="39">
        <f>SUM(C32:C36)</f>
        <v>-5082</v>
      </c>
      <c r="D37" s="39">
        <f ca="1">SUM(D32:D36)</f>
        <v>-6525.1736804235061</v>
      </c>
      <c r="E37" s="39">
        <f t="shared" ref="E37:H37" ca="1" si="22">SUM(E32:E36)</f>
        <v>-8018.2492862458448</v>
      </c>
      <c r="F37" s="39">
        <f t="shared" ca="1" si="22"/>
        <v>-9691.7225323177645</v>
      </c>
      <c r="G37" s="39">
        <f t="shared" ca="1" si="22"/>
        <v>-11247.787276882749</v>
      </c>
      <c r="H37" s="39">
        <f t="shared" ca="1" si="22"/>
        <v>-12864.543108789827</v>
      </c>
      <c r="M37" s="12" t="s">
        <v>23</v>
      </c>
      <c r="N37" s="59">
        <f t="shared" ca="1" si="4"/>
        <v>-0.01</v>
      </c>
      <c r="O37" s="54">
        <v>-0.01</v>
      </c>
      <c r="P37" s="54">
        <v>-0.01</v>
      </c>
      <c r="Q37" s="54">
        <v>-0.01</v>
      </c>
      <c r="R37" s="54">
        <v>-0.01</v>
      </c>
      <c r="S37" s="54">
        <v>-0.01</v>
      </c>
      <c r="T37" s="54">
        <v>-0.01</v>
      </c>
      <c r="U37" s="54">
        <f t="shared" si="9"/>
        <v>-0.01</v>
      </c>
      <c r="V37" s="54">
        <f t="shared" si="10"/>
        <v>-0.01</v>
      </c>
      <c r="W37" s="55">
        <f t="shared" si="11"/>
        <v>-0.01</v>
      </c>
      <c r="X37" s="55">
        <f t="shared" si="11"/>
        <v>-0.01</v>
      </c>
      <c r="Y37" s="55">
        <f t="shared" si="11"/>
        <v>-0.01</v>
      </c>
      <c r="Z37" s="55">
        <f t="shared" si="11"/>
        <v>-0.01</v>
      </c>
      <c r="AA37" s="55">
        <f t="shared" si="11"/>
        <v>-0.01</v>
      </c>
      <c r="AB37" s="55">
        <f t="shared" si="11"/>
        <v>-0.01</v>
      </c>
      <c r="AC37" s="55">
        <f t="shared" si="11"/>
        <v>-0.01</v>
      </c>
      <c r="AD37" s="55">
        <f t="shared" si="11"/>
        <v>-0.01</v>
      </c>
      <c r="AE37" s="55">
        <f t="shared" si="11"/>
        <v>-0.01</v>
      </c>
      <c r="AF37" s="55">
        <f t="shared" si="11"/>
        <v>-0.01</v>
      </c>
      <c r="AG37" s="55">
        <f t="shared" si="11"/>
        <v>-0.01</v>
      </c>
      <c r="AH37" s="55">
        <f t="shared" si="11"/>
        <v>-0.01</v>
      </c>
      <c r="AI37" s="55">
        <f t="shared" si="11"/>
        <v>-0.01</v>
      </c>
      <c r="AJ37" s="55">
        <f t="shared" si="19"/>
        <v>-0.01</v>
      </c>
      <c r="AK37" s="55">
        <f t="shared" si="19"/>
        <v>-0.01</v>
      </c>
      <c r="AL37" s="55">
        <f t="shared" si="19"/>
        <v>-0.01</v>
      </c>
      <c r="AM37" s="56">
        <v>-0.02</v>
      </c>
      <c r="AN37" s="55">
        <f t="shared" si="19"/>
        <v>-0.01</v>
      </c>
      <c r="AO37" s="55">
        <f t="shared" si="19"/>
        <v>-0.01</v>
      </c>
      <c r="AP37" s="55">
        <f t="shared" si="19"/>
        <v>-0.01</v>
      </c>
    </row>
    <row r="38" spans="2:43" ht="13.5" thickBot="1" x14ac:dyDescent="0.35">
      <c r="B38" s="34" t="s">
        <v>17</v>
      </c>
      <c r="C38" s="35">
        <f>C27+C37</f>
        <v>2711</v>
      </c>
      <c r="D38" s="35">
        <f ca="1">D27+D37</f>
        <v>3369.5366480496123</v>
      </c>
      <c r="E38" s="35">
        <f t="shared" ref="E38:H38" ca="1" si="23">E27+E37</f>
        <v>4003.1273156756588</v>
      </c>
      <c r="F38" s="35">
        <f t="shared" ca="1" si="23"/>
        <v>4671.7589260690456</v>
      </c>
      <c r="G38" s="35">
        <f t="shared" ca="1" si="23"/>
        <v>5227.3148163508977</v>
      </c>
      <c r="H38" s="35">
        <f t="shared" ca="1" si="23"/>
        <v>5755.1903381428219</v>
      </c>
      <c r="I38" s="70">
        <f ca="1">_xlfn.RRI(5,C38,H38)</f>
        <v>0.16248145879358078</v>
      </c>
      <c r="M38" s="1" t="s">
        <v>59</v>
      </c>
      <c r="N38" s="57">
        <f t="shared" ca="1" si="4"/>
        <v>0.2</v>
      </c>
      <c r="O38" s="20">
        <v>0.2</v>
      </c>
      <c r="P38" s="20">
        <v>0.2</v>
      </c>
      <c r="Q38" s="20">
        <v>0.2</v>
      </c>
      <c r="R38" s="20">
        <v>0.2</v>
      </c>
      <c r="S38" s="20">
        <v>0.2</v>
      </c>
      <c r="T38" s="20">
        <v>0.2</v>
      </c>
      <c r="U38" s="20">
        <f t="shared" ref="U38:U39" si="24">$O38</f>
        <v>0.2</v>
      </c>
      <c r="V38" s="20">
        <f t="shared" si="10"/>
        <v>0.2</v>
      </c>
      <c r="W38" s="10">
        <f t="shared" si="11"/>
        <v>0.2</v>
      </c>
      <c r="X38" s="10">
        <f t="shared" si="11"/>
        <v>0.2</v>
      </c>
      <c r="Y38" s="10">
        <f t="shared" si="11"/>
        <v>0.2</v>
      </c>
      <c r="Z38" s="10">
        <f t="shared" si="11"/>
        <v>0.2</v>
      </c>
      <c r="AA38" s="10">
        <f t="shared" si="11"/>
        <v>0.2</v>
      </c>
      <c r="AB38" s="10">
        <f t="shared" si="11"/>
        <v>0.2</v>
      </c>
      <c r="AC38" s="10">
        <f t="shared" si="11"/>
        <v>0.2</v>
      </c>
      <c r="AD38" s="10">
        <f t="shared" si="11"/>
        <v>0.2</v>
      </c>
      <c r="AE38" s="10">
        <f t="shared" si="11"/>
        <v>0.2</v>
      </c>
      <c r="AF38" s="10">
        <f t="shared" si="11"/>
        <v>0.2</v>
      </c>
      <c r="AG38" s="10">
        <f t="shared" si="11"/>
        <v>0.2</v>
      </c>
      <c r="AH38" s="10">
        <f t="shared" si="11"/>
        <v>0.2</v>
      </c>
      <c r="AI38" s="10">
        <f t="shared" si="11"/>
        <v>0.2</v>
      </c>
      <c r="AJ38" s="10">
        <f t="shared" si="19"/>
        <v>0.2</v>
      </c>
      <c r="AK38" s="10">
        <f t="shared" si="19"/>
        <v>0.2</v>
      </c>
      <c r="AL38" s="10">
        <f t="shared" si="19"/>
        <v>0.2</v>
      </c>
      <c r="AM38" s="10">
        <f t="shared" si="19"/>
        <v>0.2</v>
      </c>
      <c r="AN38" s="50">
        <v>0.22</v>
      </c>
      <c r="AO38" s="10">
        <f t="shared" si="19"/>
        <v>0.2</v>
      </c>
      <c r="AP38" s="10">
        <f t="shared" si="19"/>
        <v>0.2</v>
      </c>
    </row>
    <row r="39" spans="2:43" x14ac:dyDescent="0.25">
      <c r="B39" s="9" t="s">
        <v>18</v>
      </c>
      <c r="C39" s="11">
        <f>C38/C21</f>
        <v>0.20502155335400438</v>
      </c>
      <c r="D39" s="11">
        <f ca="1">D38/D21</f>
        <v>0.19801724268320356</v>
      </c>
      <c r="E39" s="11">
        <f t="shared" ref="E39:H39" ca="1" si="25">E38/E21</f>
        <v>0.19101293201240274</v>
      </c>
      <c r="F39" s="11">
        <f t="shared" ca="1" si="25"/>
        <v>0.18400862134160192</v>
      </c>
      <c r="G39" s="11">
        <f t="shared" ca="1" si="25"/>
        <v>0.17700431067080111</v>
      </c>
      <c r="H39" s="11">
        <f t="shared" ca="1" si="25"/>
        <v>0.17000000000000012</v>
      </c>
      <c r="M39" s="1" t="s">
        <v>44</v>
      </c>
      <c r="N39" s="57">
        <f t="shared" ca="1" si="4"/>
        <v>0.12</v>
      </c>
      <c r="O39" s="20">
        <v>0.12</v>
      </c>
      <c r="P39" s="20">
        <v>0.1</v>
      </c>
      <c r="Q39" s="20">
        <v>0.1</v>
      </c>
      <c r="R39" s="20">
        <v>0.1</v>
      </c>
      <c r="S39" s="20">
        <v>0.1</v>
      </c>
      <c r="T39" s="20">
        <v>0.1</v>
      </c>
      <c r="U39" s="20">
        <f t="shared" si="24"/>
        <v>0.12</v>
      </c>
      <c r="V39" s="20">
        <f t="shared" si="10"/>
        <v>0.12</v>
      </c>
      <c r="W39" s="10">
        <f t="shared" si="11"/>
        <v>0.12</v>
      </c>
      <c r="X39" s="10">
        <f t="shared" si="11"/>
        <v>0.12</v>
      </c>
      <c r="Y39" s="10">
        <f t="shared" si="11"/>
        <v>0.12</v>
      </c>
      <c r="Z39" s="10">
        <f t="shared" si="11"/>
        <v>0.12</v>
      </c>
      <c r="AA39" s="10">
        <f t="shared" si="11"/>
        <v>0.12</v>
      </c>
      <c r="AB39" s="10">
        <f t="shared" si="11"/>
        <v>0.12</v>
      </c>
      <c r="AC39" s="10">
        <f t="shared" si="11"/>
        <v>0.12</v>
      </c>
      <c r="AD39" s="10">
        <f t="shared" si="11"/>
        <v>0.12</v>
      </c>
      <c r="AE39" s="10">
        <f t="shared" si="11"/>
        <v>0.12</v>
      </c>
      <c r="AF39" s="10">
        <f t="shared" si="11"/>
        <v>0.12</v>
      </c>
      <c r="AG39" s="10">
        <f t="shared" si="11"/>
        <v>0.12</v>
      </c>
      <c r="AH39" s="10">
        <f t="shared" si="11"/>
        <v>0.12</v>
      </c>
      <c r="AI39" s="10">
        <f t="shared" si="11"/>
        <v>0.12</v>
      </c>
      <c r="AJ39" s="10">
        <f t="shared" si="19"/>
        <v>0.12</v>
      </c>
      <c r="AK39" s="10">
        <f t="shared" si="19"/>
        <v>0.12</v>
      </c>
      <c r="AL39" s="10">
        <f t="shared" si="19"/>
        <v>0.12</v>
      </c>
      <c r="AM39" s="10">
        <f t="shared" si="19"/>
        <v>0.12</v>
      </c>
      <c r="AN39" s="10">
        <f t="shared" si="19"/>
        <v>0.12</v>
      </c>
      <c r="AO39" s="50">
        <v>0.12</v>
      </c>
      <c r="AP39" s="10">
        <f t="shared" si="19"/>
        <v>0.12</v>
      </c>
    </row>
    <row r="40" spans="2:43" x14ac:dyDescent="0.25">
      <c r="B40" s="9" t="s">
        <v>19</v>
      </c>
      <c r="D40" s="10">
        <f ca="1">D38/C38-1</f>
        <v>0.24291281742884996</v>
      </c>
      <c r="E40" s="10">
        <f t="shared" ref="E40:H40" ca="1" si="26">E38/D38-1</f>
        <v>0.18803495370581214</v>
      </c>
      <c r="F40" s="10">
        <f t="shared" ca="1" si="26"/>
        <v>0.16702731581259567</v>
      </c>
      <c r="G40" s="10">
        <f t="shared" ca="1" si="26"/>
        <v>0.11891792771706933</v>
      </c>
      <c r="H40" s="10">
        <f t="shared" ca="1" si="26"/>
        <v>0.10098406932384174</v>
      </c>
      <c r="M40" s="12" t="s">
        <v>45</v>
      </c>
      <c r="N40" s="65">
        <f t="shared" ca="1" si="4"/>
        <v>20</v>
      </c>
      <c r="O40" s="63">
        <v>20</v>
      </c>
      <c r="P40" s="63">
        <v>25</v>
      </c>
      <c r="Q40" s="63">
        <v>25</v>
      </c>
      <c r="R40" s="63">
        <f>$E$58</f>
        <v>46</v>
      </c>
      <c r="S40" s="63">
        <f t="shared" ref="S40:U40" si="27">$E$58</f>
        <v>46</v>
      </c>
      <c r="T40" s="63">
        <f t="shared" si="27"/>
        <v>46</v>
      </c>
      <c r="U40" s="63">
        <f t="shared" si="27"/>
        <v>46</v>
      </c>
      <c r="V40" s="63">
        <f>O40</f>
        <v>20</v>
      </c>
      <c r="W40" s="63">
        <f t="shared" si="11"/>
        <v>20</v>
      </c>
      <c r="X40" s="63">
        <f t="shared" si="11"/>
        <v>20</v>
      </c>
      <c r="Y40" s="63">
        <f t="shared" si="11"/>
        <v>20</v>
      </c>
      <c r="Z40" s="63">
        <f t="shared" si="11"/>
        <v>20</v>
      </c>
      <c r="AA40" s="63">
        <f t="shared" si="11"/>
        <v>20</v>
      </c>
      <c r="AB40" s="63">
        <f t="shared" si="11"/>
        <v>20</v>
      </c>
      <c r="AC40" s="63">
        <f t="shared" si="11"/>
        <v>20</v>
      </c>
      <c r="AD40" s="63">
        <f t="shared" si="11"/>
        <v>20</v>
      </c>
      <c r="AE40" s="63">
        <f t="shared" si="11"/>
        <v>20</v>
      </c>
      <c r="AF40" s="63">
        <f t="shared" si="11"/>
        <v>20</v>
      </c>
      <c r="AG40" s="63">
        <f t="shared" si="11"/>
        <v>20</v>
      </c>
      <c r="AH40" s="63">
        <f t="shared" si="11"/>
        <v>20</v>
      </c>
      <c r="AI40" s="63">
        <f t="shared" si="11"/>
        <v>20</v>
      </c>
      <c r="AJ40" s="63">
        <f t="shared" si="19"/>
        <v>20</v>
      </c>
      <c r="AK40" s="63">
        <f t="shared" si="19"/>
        <v>20</v>
      </c>
      <c r="AL40" s="63">
        <f t="shared" si="19"/>
        <v>20</v>
      </c>
      <c r="AM40" s="63">
        <f t="shared" si="19"/>
        <v>20</v>
      </c>
      <c r="AN40" s="63">
        <f t="shared" si="19"/>
        <v>20</v>
      </c>
      <c r="AO40" s="63">
        <f t="shared" si="19"/>
        <v>20</v>
      </c>
      <c r="AP40" s="64">
        <v>27</v>
      </c>
    </row>
    <row r="41" spans="2:43" x14ac:dyDescent="0.25">
      <c r="M41" s="1" t="s">
        <v>60</v>
      </c>
      <c r="N41" s="10">
        <f ca="1">C63</f>
        <v>-7.3526799296967038E-2</v>
      </c>
      <c r="O41" s="20">
        <f>O45</f>
        <v>-7.3526799296967038E-2</v>
      </c>
      <c r="P41" s="20">
        <f t="shared" ref="P41:AP41" si="28">P45</f>
        <v>0.34455312245778336</v>
      </c>
      <c r="Q41" s="20">
        <f t="shared" si="28"/>
        <v>8.7575152169797166E-2</v>
      </c>
      <c r="R41" s="20">
        <f t="shared" si="28"/>
        <v>0.12481875864042724</v>
      </c>
      <c r="S41" s="20">
        <f t="shared" si="28"/>
        <v>0.34131112590523338</v>
      </c>
      <c r="T41" s="20">
        <f t="shared" si="28"/>
        <v>0.64888182530319538</v>
      </c>
      <c r="U41" s="20">
        <f t="shared" si="28"/>
        <v>0.50389001247244525</v>
      </c>
      <c r="V41" s="20">
        <f t="shared" si="28"/>
        <v>-7.3526799296967038E-2</v>
      </c>
      <c r="W41" s="20">
        <f t="shared" si="28"/>
        <v>-4.9579663791395001E-2</v>
      </c>
      <c r="X41" s="20">
        <f t="shared" si="28"/>
        <v>-3.2678024180497367E-2</v>
      </c>
      <c r="Y41" s="20">
        <f t="shared" si="28"/>
        <v>-4.3702557947472798E-2</v>
      </c>
      <c r="Z41" s="20">
        <f t="shared" si="28"/>
        <v>-3.3970138326681054E-2</v>
      </c>
      <c r="AA41" s="20">
        <f t="shared" si="28"/>
        <v>-6.6229315451768578E-2</v>
      </c>
      <c r="AB41" s="20">
        <f t="shared" si="28"/>
        <v>-6.7329795634753387E-2</v>
      </c>
      <c r="AC41" s="20">
        <f t="shared" si="28"/>
        <v>-1.4978867206752122E-2</v>
      </c>
      <c r="AD41" s="20">
        <f t="shared" si="28"/>
        <v>-1.4390491704132424E-2</v>
      </c>
      <c r="AE41" s="20">
        <f t="shared" si="28"/>
        <v>-0.13998493375825438</v>
      </c>
      <c r="AF41" s="20">
        <f t="shared" si="28"/>
        <v>-0.13998493375825438</v>
      </c>
      <c r="AG41" s="20">
        <f t="shared" si="28"/>
        <v>-0.13998493375825438</v>
      </c>
      <c r="AH41" s="20">
        <f t="shared" si="28"/>
        <v>-0.13998493375825438</v>
      </c>
      <c r="AI41" s="20">
        <f t="shared" si="28"/>
        <v>-0.13998493375825438</v>
      </c>
      <c r="AJ41" s="20">
        <f t="shared" si="28"/>
        <v>-7.1514947022823128E-2</v>
      </c>
      <c r="AK41" s="20">
        <f t="shared" si="28"/>
        <v>-8.6627125928427029E-2</v>
      </c>
      <c r="AL41" s="20">
        <f t="shared" si="28"/>
        <v>-7.8660385980702685E-2</v>
      </c>
      <c r="AM41" s="20">
        <f t="shared" si="28"/>
        <v>-6.9630339537313901E-2</v>
      </c>
      <c r="AN41" s="20">
        <f t="shared" si="28"/>
        <v>-7.3526799296967038E-2</v>
      </c>
      <c r="AO41" s="20">
        <f t="shared" si="28"/>
        <v>-7.3526799296967038E-2</v>
      </c>
      <c r="AP41" s="20">
        <f t="shared" si="28"/>
        <v>0.18260707584178271</v>
      </c>
      <c r="AQ41" s="6"/>
    </row>
    <row r="42" spans="2:43" ht="13" x14ac:dyDescent="0.3">
      <c r="B42" s="26" t="s">
        <v>20</v>
      </c>
      <c r="M42" s="1" t="s">
        <v>61</v>
      </c>
      <c r="N42" s="22">
        <f ca="1">C103</f>
        <v>13.761798325206829</v>
      </c>
      <c r="O42" s="22">
        <f>O46</f>
        <v>13.761798325206829</v>
      </c>
      <c r="P42" s="22">
        <f t="shared" ref="P42:AP42" si="29">P46</f>
        <v>21.64489495980397</v>
      </c>
      <c r="Q42" s="22">
        <f t="shared" si="29"/>
        <v>15.943918856430738</v>
      </c>
      <c r="R42" s="22">
        <f t="shared" si="29"/>
        <v>16.562710661590497</v>
      </c>
      <c r="S42" s="22">
        <f t="shared" si="29"/>
        <v>21.545266675669318</v>
      </c>
      <c r="T42" s="22">
        <f t="shared" si="29"/>
        <v>39.189356128707004</v>
      </c>
      <c r="U42" s="22">
        <f t="shared" si="29"/>
        <v>28.146024141422544</v>
      </c>
      <c r="V42" s="22">
        <f t="shared" si="29"/>
        <v>13.761798325206829</v>
      </c>
      <c r="W42" s="22">
        <f t="shared" si="29"/>
        <v>14.043775011432</v>
      </c>
      <c r="X42" s="22">
        <f t="shared" si="29"/>
        <v>14.250663545923842</v>
      </c>
      <c r="Y42" s="22">
        <f t="shared" si="29"/>
        <v>14.114955224826918</v>
      </c>
      <c r="Z42" s="22">
        <f t="shared" si="29"/>
        <v>14.234608340062637</v>
      </c>
      <c r="AA42" s="22">
        <f t="shared" si="29"/>
        <v>13.846384144717913</v>
      </c>
      <c r="AB42" s="22">
        <f t="shared" si="29"/>
        <v>13.833554314695549</v>
      </c>
      <c r="AC42" s="22">
        <f t="shared" si="29"/>
        <v>14.474699940349334</v>
      </c>
      <c r="AD42" s="22">
        <f t="shared" si="29"/>
        <v>14.482281880315222</v>
      </c>
      <c r="AE42" s="22">
        <f t="shared" si="29"/>
        <v>13.041314770098445</v>
      </c>
      <c r="AF42" s="22">
        <f t="shared" si="29"/>
        <v>13.041314770098445</v>
      </c>
      <c r="AG42" s="22">
        <f t="shared" si="29"/>
        <v>13.041314770098445</v>
      </c>
      <c r="AH42" s="22">
        <f t="shared" si="29"/>
        <v>13.041314770098445</v>
      </c>
      <c r="AI42" s="22">
        <f t="shared" si="29"/>
        <v>13.041314770098445</v>
      </c>
      <c r="AJ42" s="22">
        <f t="shared" si="29"/>
        <v>13.785002861431261</v>
      </c>
      <c r="AK42" s="22">
        <f t="shared" si="29"/>
        <v>13.612801635418263</v>
      </c>
      <c r="AL42" s="22">
        <f t="shared" si="29"/>
        <v>13.702980195812218</v>
      </c>
      <c r="AM42" s="22">
        <f t="shared" si="29"/>
        <v>13.80681895029289</v>
      </c>
      <c r="AN42" s="22">
        <f t="shared" si="29"/>
        <v>13.452829225900189</v>
      </c>
      <c r="AO42" s="22">
        <f t="shared" si="29"/>
        <v>13.761798325206829</v>
      </c>
      <c r="AP42" s="22">
        <f t="shared" si="29"/>
        <v>17.634474506495678</v>
      </c>
    </row>
    <row r="43" spans="2:43" ht="13" x14ac:dyDescent="0.3">
      <c r="B43" s="13" t="s">
        <v>17</v>
      </c>
      <c r="C43" s="30">
        <f>C38</f>
        <v>2711</v>
      </c>
      <c r="D43" s="30">
        <f t="shared" ref="D43:H43" ca="1" si="30">D38</f>
        <v>3369.5366480496123</v>
      </c>
      <c r="E43" s="30">
        <f t="shared" ca="1" si="30"/>
        <v>4003.1273156756588</v>
      </c>
      <c r="F43" s="30">
        <f t="shared" ca="1" si="30"/>
        <v>4671.7589260690456</v>
      </c>
      <c r="G43" s="30">
        <f t="shared" ca="1" si="30"/>
        <v>5227.3148163508977</v>
      </c>
      <c r="H43" s="30">
        <f t="shared" ca="1" si="30"/>
        <v>5755.1903381428219</v>
      </c>
    </row>
    <row r="44" spans="2:43" x14ac:dyDescent="0.25">
      <c r="B44" s="1" t="s">
        <v>21</v>
      </c>
      <c r="C44" s="8">
        <f t="shared" ref="C44:H44" si="31">-SUM(C43+C116)*25%</f>
        <v>-555.5</v>
      </c>
      <c r="D44" s="8">
        <f t="shared" ca="1" si="31"/>
        <v>-691.0029812584138</v>
      </c>
      <c r="E44" s="8">
        <f t="shared" ca="1" si="31"/>
        <v>-821.65604911908099</v>
      </c>
      <c r="F44" s="8">
        <f t="shared" ca="1" si="31"/>
        <v>-959.79972728318535</v>
      </c>
      <c r="G44" s="8">
        <f t="shared" ca="1" si="31"/>
        <v>-1075.0294903379097</v>
      </c>
      <c r="H44" s="8">
        <f t="shared" ca="1" si="31"/>
        <v>-1184.8921284411695</v>
      </c>
      <c r="O44" s="1">
        <v>1</v>
      </c>
      <c r="P44" s="1">
        <f>O44+1</f>
        <v>2</v>
      </c>
      <c r="Q44" s="1">
        <f t="shared" ref="Q44:AP44" si="32">P44+1</f>
        <v>3</v>
      </c>
      <c r="R44" s="1">
        <f t="shared" si="32"/>
        <v>4</v>
      </c>
      <c r="S44" s="1">
        <f t="shared" si="32"/>
        <v>5</v>
      </c>
      <c r="T44" s="1">
        <f t="shared" si="32"/>
        <v>6</v>
      </c>
      <c r="U44" s="1">
        <f t="shared" si="32"/>
        <v>7</v>
      </c>
      <c r="V44" s="1">
        <f t="shared" si="32"/>
        <v>8</v>
      </c>
      <c r="W44" s="1">
        <f t="shared" si="32"/>
        <v>9</v>
      </c>
      <c r="X44" s="1">
        <f t="shared" si="32"/>
        <v>10</v>
      </c>
      <c r="Y44" s="1">
        <f t="shared" si="32"/>
        <v>11</v>
      </c>
      <c r="Z44" s="1">
        <f t="shared" si="32"/>
        <v>12</v>
      </c>
      <c r="AA44" s="1">
        <f t="shared" si="32"/>
        <v>13</v>
      </c>
      <c r="AB44" s="1">
        <f t="shared" si="32"/>
        <v>14</v>
      </c>
      <c r="AC44" s="1">
        <f t="shared" si="32"/>
        <v>15</v>
      </c>
      <c r="AD44" s="1">
        <f t="shared" si="32"/>
        <v>16</v>
      </c>
      <c r="AE44" s="1">
        <f t="shared" si="32"/>
        <v>17</v>
      </c>
      <c r="AF44" s="1">
        <f t="shared" si="32"/>
        <v>18</v>
      </c>
      <c r="AG44" s="1">
        <f t="shared" si="32"/>
        <v>19</v>
      </c>
      <c r="AH44" s="1">
        <f t="shared" si="32"/>
        <v>20</v>
      </c>
      <c r="AI44" s="1">
        <f t="shared" si="32"/>
        <v>21</v>
      </c>
      <c r="AJ44" s="1">
        <f t="shared" si="32"/>
        <v>22</v>
      </c>
      <c r="AK44" s="1">
        <f t="shared" si="32"/>
        <v>23</v>
      </c>
      <c r="AL44" s="1">
        <f t="shared" si="32"/>
        <v>24</v>
      </c>
      <c r="AM44" s="1">
        <f t="shared" si="32"/>
        <v>25</v>
      </c>
      <c r="AN44" s="1">
        <f t="shared" si="32"/>
        <v>26</v>
      </c>
      <c r="AO44" s="1">
        <f t="shared" si="32"/>
        <v>27</v>
      </c>
      <c r="AP44" s="1">
        <f t="shared" si="32"/>
        <v>28</v>
      </c>
    </row>
    <row r="45" spans="2:43" x14ac:dyDescent="0.25">
      <c r="B45" s="1" t="s">
        <v>22</v>
      </c>
      <c r="D45" s="8">
        <f ca="1">-D21*$N$35-$N$36*(D13-C13)</f>
        <v>-1232.8914</v>
      </c>
      <c r="E45" s="8">
        <f t="shared" ref="E45:H45" ca="1" si="33">-E21*$N$35-$N$36*(E13-D13)</f>
        <v>-1230.7208840000001</v>
      </c>
      <c r="F45" s="8">
        <f t="shared" ca="1" si="33"/>
        <v>-1363.66413704</v>
      </c>
      <c r="G45" s="8">
        <f t="shared" ca="1" si="33"/>
        <v>-1367.5639852624001</v>
      </c>
      <c r="H45" s="8">
        <f t="shared" ca="1" si="33"/>
        <v>-1497.2218243781442</v>
      </c>
      <c r="N45" s="10">
        <f ca="1">N41</f>
        <v>-7.3526799296967038E-2</v>
      </c>
      <c r="O45" s="10">
        <f t="dataTable" ref="O45:AP46" dt2D="0" dtr="1" r1="N19" ca="1"/>
        <v>-7.3526799296967038E-2</v>
      </c>
      <c r="P45" s="10">
        <v>0.34455312245778336</v>
      </c>
      <c r="Q45" s="10">
        <v>8.7575152169797166E-2</v>
      </c>
      <c r="R45" s="10">
        <v>0.12481875864042724</v>
      </c>
      <c r="S45" s="10">
        <v>0.34131112590523338</v>
      </c>
      <c r="T45" s="10">
        <v>0.64888182530319538</v>
      </c>
      <c r="U45" s="10">
        <v>0.50389001247244525</v>
      </c>
      <c r="V45" s="10">
        <v>-7.3526799296967038E-2</v>
      </c>
      <c r="W45" s="10">
        <v>-4.9579663791395001E-2</v>
      </c>
      <c r="X45" s="10">
        <v>-3.2678024180497367E-2</v>
      </c>
      <c r="Y45" s="10">
        <v>-4.3702557947472798E-2</v>
      </c>
      <c r="Z45" s="10">
        <v>-3.3970138326681054E-2</v>
      </c>
      <c r="AA45" s="10">
        <v>-6.6229315451768578E-2</v>
      </c>
      <c r="AB45" s="10">
        <v>-6.7329795634753387E-2</v>
      </c>
      <c r="AC45" s="10">
        <v>-1.4978867206752122E-2</v>
      </c>
      <c r="AD45" s="10">
        <v>-1.4390491704132424E-2</v>
      </c>
      <c r="AE45" s="10">
        <v>-0.13998493375825438</v>
      </c>
      <c r="AF45" s="10">
        <v>-0.13998493375825438</v>
      </c>
      <c r="AG45" s="10">
        <v>-0.13998493375825438</v>
      </c>
      <c r="AH45" s="10">
        <v>-0.13998493375825438</v>
      </c>
      <c r="AI45" s="10">
        <v>-0.13998493375825438</v>
      </c>
      <c r="AJ45" s="10">
        <v>-7.1514947022823128E-2</v>
      </c>
      <c r="AK45" s="10">
        <v>-8.6627125928427029E-2</v>
      </c>
      <c r="AL45" s="10">
        <v>-7.8660385980702685E-2</v>
      </c>
      <c r="AM45" s="10">
        <v>-6.9630339537313901E-2</v>
      </c>
      <c r="AN45" s="10">
        <v>-7.3526799296967038E-2</v>
      </c>
      <c r="AO45" s="10">
        <v>-7.3526799296967038E-2</v>
      </c>
      <c r="AP45" s="10">
        <v>0.18260707584178271</v>
      </c>
    </row>
    <row r="46" spans="2:43" x14ac:dyDescent="0.25">
      <c r="B46" s="1" t="s">
        <v>23</v>
      </c>
      <c r="D46" s="14">
        <f ca="1">-(D119-C119)</f>
        <v>63.163800000000037</v>
      </c>
      <c r="E46" s="14">
        <f t="shared" ref="E46:H46" ca="1" si="34">-(E119-D119)</f>
        <v>39.409828000000005</v>
      </c>
      <c r="F46" s="14">
        <f t="shared" ca="1" si="34"/>
        <v>44.314417679999991</v>
      </c>
      <c r="G46" s="14">
        <f t="shared" ca="1" si="34"/>
        <v>41.433282740800024</v>
      </c>
      <c r="H46" s="14">
        <f t="shared" ca="1" si="34"/>
        <v>43.219279705248027</v>
      </c>
      <c r="N46" s="22">
        <f ca="1">N42</f>
        <v>13.761798325206829</v>
      </c>
      <c r="O46" s="22">
        <v>13.761798325206829</v>
      </c>
      <c r="P46" s="22">
        <v>21.64489495980397</v>
      </c>
      <c r="Q46" s="22">
        <v>15.943918856430738</v>
      </c>
      <c r="R46" s="22">
        <v>16.562710661590497</v>
      </c>
      <c r="S46" s="22">
        <v>21.545266675669318</v>
      </c>
      <c r="T46" s="22">
        <v>39.189356128707004</v>
      </c>
      <c r="U46" s="22">
        <v>28.146024141422544</v>
      </c>
      <c r="V46" s="22">
        <v>13.761798325206829</v>
      </c>
      <c r="W46" s="22">
        <v>14.043775011432</v>
      </c>
      <c r="X46" s="22">
        <v>14.250663545923842</v>
      </c>
      <c r="Y46" s="22">
        <v>14.114955224826918</v>
      </c>
      <c r="Z46" s="22">
        <v>14.234608340062637</v>
      </c>
      <c r="AA46" s="22">
        <v>13.846384144717913</v>
      </c>
      <c r="AB46" s="22">
        <v>13.833554314695549</v>
      </c>
      <c r="AC46" s="22">
        <v>14.474699940349334</v>
      </c>
      <c r="AD46" s="22">
        <v>14.482281880315222</v>
      </c>
      <c r="AE46" s="22">
        <v>13.041314770098445</v>
      </c>
      <c r="AF46" s="22">
        <v>13.041314770098445</v>
      </c>
      <c r="AG46" s="22">
        <v>13.041314770098445</v>
      </c>
      <c r="AH46" s="22">
        <v>13.041314770098445</v>
      </c>
      <c r="AI46" s="22">
        <v>13.041314770098445</v>
      </c>
      <c r="AJ46" s="22">
        <v>13.785002861431261</v>
      </c>
      <c r="AK46" s="22">
        <v>13.612801635418263</v>
      </c>
      <c r="AL46" s="22">
        <v>13.702980195812218</v>
      </c>
      <c r="AM46" s="22">
        <v>13.80681895029289</v>
      </c>
      <c r="AN46" s="22">
        <v>13.452829225900189</v>
      </c>
      <c r="AO46" s="22">
        <v>13.761798325206829</v>
      </c>
      <c r="AP46" s="22">
        <v>17.634474506495678</v>
      </c>
    </row>
    <row r="47" spans="2:43" ht="13" x14ac:dyDescent="0.3">
      <c r="B47" s="32" t="s">
        <v>24</v>
      </c>
      <c r="C47" s="33">
        <f>SUM(C43:C46)</f>
        <v>2155.5</v>
      </c>
      <c r="D47" s="33">
        <f t="shared" ref="D47:H47" ca="1" si="35">SUM(D43:D46)</f>
        <v>1508.8060667911984</v>
      </c>
      <c r="E47" s="33">
        <f t="shared" ca="1" si="35"/>
        <v>1990.1602105565776</v>
      </c>
      <c r="F47" s="33">
        <f t="shared" ca="1" si="35"/>
        <v>2392.6094794258602</v>
      </c>
      <c r="G47" s="33">
        <f t="shared" ca="1" si="35"/>
        <v>2826.1546234913881</v>
      </c>
      <c r="H47" s="33">
        <f t="shared" ca="1" si="35"/>
        <v>3116.2956650287556</v>
      </c>
      <c r="I47" s="70">
        <f ca="1">_xlfn.RRI(5,C47,H47)</f>
        <v>7.6510141812783594E-2</v>
      </c>
    </row>
    <row r="48" spans="2:43" x14ac:dyDescent="0.25">
      <c r="B48" s="1" t="s">
        <v>19</v>
      </c>
      <c r="D48" s="11">
        <f ca="1">D47/C47-1</f>
        <v>-0.30002038191083347</v>
      </c>
      <c r="E48" s="11">
        <f t="shared" ref="E48:H48" ca="1" si="36">E47/D47-1</f>
        <v>0.31902983051299794</v>
      </c>
      <c r="F48" s="11">
        <f t="shared" ca="1" si="36"/>
        <v>0.20221953324889941</v>
      </c>
      <c r="G48" s="11">
        <f t="shared" ca="1" si="36"/>
        <v>0.18120179987315055</v>
      </c>
      <c r="H48" s="11">
        <f t="shared" ca="1" si="36"/>
        <v>0.1026628334931412</v>
      </c>
      <c r="W48" s="27">
        <f>ABS(W46-$O$46)</f>
        <v>0.28197668622517114</v>
      </c>
      <c r="X48" s="27">
        <f t="shared" ref="X48:AP48" si="37">ABS(X46-$O$46)</f>
        <v>0.48886522071701322</v>
      </c>
      <c r="Y48" s="27">
        <f t="shared" si="37"/>
        <v>0.35315689962008889</v>
      </c>
      <c r="Z48" s="27">
        <f t="shared" si="37"/>
        <v>0.47281001485580809</v>
      </c>
      <c r="AA48" s="27">
        <f t="shared" si="37"/>
        <v>8.4585819511083571E-2</v>
      </c>
      <c r="AB48" s="27">
        <f t="shared" si="37"/>
        <v>7.1755989488719862E-2</v>
      </c>
      <c r="AC48" s="27">
        <f t="shared" si="37"/>
        <v>0.7129016151425045</v>
      </c>
      <c r="AD48" s="27">
        <f t="shared" si="37"/>
        <v>0.72048355510839279</v>
      </c>
      <c r="AE48" s="27">
        <f t="shared" si="37"/>
        <v>0.72048355510838391</v>
      </c>
      <c r="AF48" s="27">
        <f t="shared" si="37"/>
        <v>0.72048355510838391</v>
      </c>
      <c r="AG48" s="27">
        <f t="shared" si="37"/>
        <v>0.72048355510838391</v>
      </c>
      <c r="AH48" s="27">
        <f t="shared" si="37"/>
        <v>0.72048355510838391</v>
      </c>
      <c r="AI48" s="27">
        <f t="shared" si="37"/>
        <v>0.72048355510838391</v>
      </c>
      <c r="AJ48" s="27">
        <f t="shared" si="37"/>
        <v>2.3204536224431749E-2</v>
      </c>
      <c r="AK48" s="27">
        <f t="shared" si="37"/>
        <v>0.14899668978856617</v>
      </c>
      <c r="AL48" s="27">
        <f t="shared" si="37"/>
        <v>5.8818129394611063E-2</v>
      </c>
      <c r="AM48" s="27">
        <f t="shared" si="37"/>
        <v>4.5020625086060306E-2</v>
      </c>
      <c r="AN48" s="27">
        <f t="shared" si="37"/>
        <v>0.30896909930664052</v>
      </c>
      <c r="AO48" s="27">
        <f t="shared" si="37"/>
        <v>0</v>
      </c>
      <c r="AP48" s="27">
        <f t="shared" si="37"/>
        <v>3.8726761812888491</v>
      </c>
    </row>
    <row r="49" spans="1:26" ht="16" x14ac:dyDescent="0.6">
      <c r="B49" s="1" t="s">
        <v>26</v>
      </c>
      <c r="C49" s="11">
        <f>C47/C43</f>
        <v>0.79509406123201776</v>
      </c>
      <c r="D49" s="11">
        <f t="shared" ref="D49:H49" ca="1" si="38">D47/D43</f>
        <v>0.44777850024707111</v>
      </c>
      <c r="E49" s="11">
        <f t="shared" ca="1" si="38"/>
        <v>0.49715136532465565</v>
      </c>
      <c r="F49" s="11">
        <f t="shared" ca="1" si="38"/>
        <v>0.51214318146314786</v>
      </c>
      <c r="G49" s="11">
        <f t="shared" ca="1" si="38"/>
        <v>0.54065131387366483</v>
      </c>
      <c r="H49" s="11">
        <f t="shared" ca="1" si="38"/>
        <v>0.54147569097330195</v>
      </c>
      <c r="M49" s="67" t="s">
        <v>73</v>
      </c>
      <c r="N49" s="67" t="s">
        <v>30</v>
      </c>
      <c r="O49" s="67" t="s">
        <v>74</v>
      </c>
      <c r="P49" s="87" t="s">
        <v>75</v>
      </c>
      <c r="Q49" s="87"/>
    </row>
    <row r="50" spans="1:26" x14ac:dyDescent="0.25">
      <c r="B50" s="1" t="s">
        <v>25</v>
      </c>
      <c r="C50" s="10">
        <f ca="1">C47/$C$58</f>
        <v>2.9320930778698153E-2</v>
      </c>
      <c r="D50" s="10">
        <f t="shared" ref="D50:H50" ca="1" si="39">D47/$C$58</f>
        <v>2.052405392849202E-2</v>
      </c>
      <c r="E50" s="10">
        <f t="shared" ca="1" si="39"/>
        <v>2.7071839374738459E-2</v>
      </c>
      <c r="F50" s="10">
        <f t="shared" ca="1" si="39"/>
        <v>3.2546294097287251E-2</v>
      </c>
      <c r="G50" s="10">
        <f t="shared" ca="1" si="39"/>
        <v>3.8443741166916602E-2</v>
      </c>
      <c r="H50" s="10">
        <f t="shared" ca="1" si="39"/>
        <v>4.2390484565189179E-2</v>
      </c>
      <c r="M50" s="1" t="str">
        <f>M21</f>
        <v>New Stores ST</v>
      </c>
      <c r="N50" s="1">
        <f>O21</f>
        <v>120</v>
      </c>
      <c r="O50" s="1">
        <v>20</v>
      </c>
      <c r="P50" s="7" cm="1">
        <f t="array" ref="P50:P69">TRANSPOSE(W48:AP48)</f>
        <v>0.28197668622517114</v>
      </c>
      <c r="Q50" s="71" t="str">
        <f t="shared" ref="Q50:Q68" si="40">REPT("|",P50*40)</f>
        <v>|||||||||||</v>
      </c>
    </row>
    <row r="51" spans="1:26" x14ac:dyDescent="0.25">
      <c r="M51" s="1" t="str">
        <f t="shared" ref="M51:M69" si="41">M22</f>
        <v>New Stores MD</v>
      </c>
      <c r="N51" s="1">
        <f t="shared" ref="N51:N69" si="42">O22</f>
        <v>100</v>
      </c>
      <c r="O51" s="1">
        <v>20</v>
      </c>
      <c r="P51" s="7">
        <v>0.48886522071701322</v>
      </c>
      <c r="Q51" s="71" t="str">
        <f t="shared" si="40"/>
        <v>|||||||||||||||||||</v>
      </c>
      <c r="W51" s="1" t="str" cm="1">
        <f t="array" ref="W51:W55">TRANSPOSE(R20:V20)</f>
        <v>Yield</v>
      </c>
      <c r="X51" s="8">
        <f>Z51</f>
        <v>16.562710661590497</v>
      </c>
      <c r="Z51" s="8" cm="1">
        <f t="array" ref="Z51:Z55">TRANSPOSE(R42:V42)</f>
        <v>16.562710661590497</v>
      </c>
    </row>
    <row r="52" spans="1:26" x14ac:dyDescent="0.25">
      <c r="J52" s="10">
        <f>76000/177000</f>
        <v>0.42937853107344631</v>
      </c>
      <c r="M52" s="1" t="str">
        <f t="shared" si="41"/>
        <v>New Stores LT</v>
      </c>
      <c r="N52" s="1">
        <f t="shared" si="42"/>
        <v>80</v>
      </c>
      <c r="O52" s="1">
        <v>20</v>
      </c>
      <c r="P52" s="7">
        <v>0.35315689962008889</v>
      </c>
      <c r="Q52" s="71" t="str">
        <f t="shared" si="40"/>
        <v>||||||||||||||</v>
      </c>
      <c r="W52" s="1" t="str">
        <v>Existing Stores</v>
      </c>
      <c r="X52" s="8">
        <f>Z52-Z51</f>
        <v>4.9825560140788205</v>
      </c>
      <c r="Z52" s="8">
        <v>21.545266675669318</v>
      </c>
    </row>
    <row r="53" spans="1:26" ht="13" x14ac:dyDescent="0.3">
      <c r="A53" s="1" t="s">
        <v>0</v>
      </c>
      <c r="B53" s="2" t="s">
        <v>50</v>
      </c>
      <c r="C53" s="2"/>
      <c r="D53" s="2"/>
      <c r="E53" s="2"/>
      <c r="F53" s="2"/>
      <c r="G53" s="2"/>
      <c r="H53" s="2"/>
      <c r="I53" s="24"/>
      <c r="M53" s="1" t="str">
        <f t="shared" si="41"/>
        <v>Beginning Revenue / Store</v>
      </c>
      <c r="N53" s="1">
        <f t="shared" si="42"/>
        <v>25</v>
      </c>
      <c r="O53" s="1">
        <v>2</v>
      </c>
      <c r="P53" s="7">
        <v>0.47281001485580809</v>
      </c>
      <c r="Q53" s="71" t="str">
        <f t="shared" si="40"/>
        <v>||||||||||||||||||</v>
      </c>
      <c r="W53" s="1" t="str">
        <v>De Novo</v>
      </c>
      <c r="X53" s="8">
        <f>Z53-Z52</f>
        <v>17.644089453037687</v>
      </c>
      <c r="Z53" s="8">
        <v>39.189356128707004</v>
      </c>
    </row>
    <row r="54" spans="1:26" x14ac:dyDescent="0.25">
      <c r="M54" s="1" t="str">
        <f t="shared" si="41"/>
        <v>SSSG ST</v>
      </c>
      <c r="N54" s="20">
        <f t="shared" si="42"/>
        <v>0.2</v>
      </c>
      <c r="O54" s="20">
        <v>0.02</v>
      </c>
      <c r="P54" s="7">
        <v>8.4585819511083571E-2</v>
      </c>
      <c r="Q54" s="71" t="str">
        <f t="shared" si="40"/>
        <v>|||</v>
      </c>
      <c r="W54" s="1" t="str">
        <v>Margins Contraction</v>
      </c>
      <c r="X54" s="8">
        <f>Z54-Z53</f>
        <v>-11.043331987284461</v>
      </c>
      <c r="Z54" s="8">
        <v>28.146024141422544</v>
      </c>
    </row>
    <row r="55" spans="1:26" ht="13" x14ac:dyDescent="0.3">
      <c r="A55" s="1" t="s">
        <v>0</v>
      </c>
      <c r="B55" s="2" t="s">
        <v>51</v>
      </c>
      <c r="C55" s="2"/>
      <c r="M55" s="1" t="str">
        <f t="shared" si="41"/>
        <v>SSSG MD</v>
      </c>
      <c r="N55" s="20">
        <f t="shared" si="42"/>
        <v>0.15</v>
      </c>
      <c r="O55" s="20">
        <v>0.02</v>
      </c>
      <c r="P55" s="7">
        <v>7.1755989488719862E-2</v>
      </c>
      <c r="Q55" s="71" t="str">
        <f t="shared" si="40"/>
        <v>||</v>
      </c>
      <c r="W55" s="1" t="str">
        <v>Multiple Contraction</v>
      </c>
      <c r="X55" s="8">
        <f>Z55-Z54</f>
        <v>-14.384225816215714</v>
      </c>
      <c r="Z55" s="8">
        <v>13.761798325206829</v>
      </c>
    </row>
    <row r="56" spans="1:26" x14ac:dyDescent="0.25">
      <c r="B56" s="1" t="s">
        <v>52</v>
      </c>
      <c r="C56" s="8">
        <f ca="1">NPV($N$39,$D$47:$H$47)</f>
        <v>8201.0461836014638</v>
      </c>
      <c r="M56" s="1" t="str">
        <f t="shared" si="41"/>
        <v>SSSG LT</v>
      </c>
      <c r="N56" s="20">
        <f t="shared" si="42"/>
        <v>0.06</v>
      </c>
      <c r="O56" s="20">
        <v>0.02</v>
      </c>
      <c r="P56" s="7">
        <v>0.7129016151425045</v>
      </c>
      <c r="Q56" s="71" t="str">
        <f t="shared" si="40"/>
        <v>||||||||||||||||||||||||||||</v>
      </c>
      <c r="W56" s="1" t="s">
        <v>87</v>
      </c>
      <c r="X56" s="14">
        <f>Z55</f>
        <v>13.761798325206829</v>
      </c>
    </row>
    <row r="57" spans="1:26" x14ac:dyDescent="0.25">
      <c r="B57" s="1" t="s">
        <v>53</v>
      </c>
      <c r="C57" s="8">
        <f ca="1">$H$38*$N$40/(1+$N$39)^5</f>
        <v>65312.991152688861</v>
      </c>
      <c r="M57" s="1" t="str">
        <f t="shared" si="41"/>
        <v>Gross Margin</v>
      </c>
      <c r="N57" s="20">
        <f t="shared" si="42"/>
        <v>0.55000000000000004</v>
      </c>
      <c r="O57" s="20">
        <v>0.01</v>
      </c>
      <c r="P57" s="7">
        <v>0.72048355510839279</v>
      </c>
      <c r="Q57" s="71" t="str">
        <f t="shared" si="40"/>
        <v>||||||||||||||||||||||||||||</v>
      </c>
    </row>
    <row r="58" spans="1:26" ht="13" x14ac:dyDescent="0.3">
      <c r="B58" s="44" t="s">
        <v>54</v>
      </c>
      <c r="C58" s="45">
        <f ca="1">SUM(C56:C57)</f>
        <v>73514.037336290319</v>
      </c>
      <c r="E58" s="28">
        <v>46</v>
      </c>
      <c r="M58" s="1" t="str">
        <f t="shared" si="41"/>
        <v>Staff Costs</v>
      </c>
      <c r="N58" s="20">
        <f t="shared" si="42"/>
        <v>0.26</v>
      </c>
      <c r="O58" s="20">
        <v>0.01</v>
      </c>
      <c r="P58" s="7">
        <v>0.72048355510838391</v>
      </c>
      <c r="Q58" s="71" t="str">
        <f t="shared" si="40"/>
        <v>||||||||||||||||||||||||||||</v>
      </c>
    </row>
    <row r="59" spans="1:26" x14ac:dyDescent="0.25">
      <c r="B59" s="1" t="s">
        <v>55</v>
      </c>
      <c r="C59" s="28">
        <f>-1094</f>
        <v>-1094</v>
      </c>
      <c r="M59" s="1" t="str">
        <f t="shared" si="41"/>
        <v>Property Rentals</v>
      </c>
      <c r="N59" s="20">
        <f t="shared" si="42"/>
        <v>0.04</v>
      </c>
      <c r="O59" s="20">
        <v>0.01</v>
      </c>
      <c r="P59" s="7">
        <v>0.72048355510838391</v>
      </c>
      <c r="Q59" s="71" t="str">
        <f t="shared" si="40"/>
        <v>||||||||||||||||||||||||||||</v>
      </c>
    </row>
    <row r="60" spans="1:26" x14ac:dyDescent="0.25">
      <c r="B60" s="1" t="s">
        <v>56</v>
      </c>
      <c r="C60" s="6">
        <v>531</v>
      </c>
      <c r="M60" s="1" t="str">
        <f t="shared" si="41"/>
        <v>Utilities Expense</v>
      </c>
      <c r="N60" s="20">
        <f t="shared" si="42"/>
        <v>0.03</v>
      </c>
      <c r="O60" s="20">
        <v>0.01</v>
      </c>
      <c r="P60" s="7">
        <v>0.72048355510838391</v>
      </c>
      <c r="Q60" s="71" t="str">
        <f t="shared" si="40"/>
        <v>||||||||||||||||||||||||||||</v>
      </c>
    </row>
    <row r="61" spans="1:26" ht="13" x14ac:dyDescent="0.3">
      <c r="B61" s="44" t="s">
        <v>57</v>
      </c>
      <c r="C61" s="45">
        <f ca="1">SUM(C58:C60)</f>
        <v>72951.037336290319</v>
      </c>
      <c r="M61" s="1" t="str">
        <f t="shared" si="41"/>
        <v>Traveling Expenses</v>
      </c>
      <c r="N61" s="20">
        <f t="shared" si="42"/>
        <v>0.01</v>
      </c>
      <c r="O61" s="20">
        <v>0.01</v>
      </c>
      <c r="P61" s="7">
        <v>0.72048355510838391</v>
      </c>
      <c r="Q61" s="71" t="str">
        <f t="shared" si="40"/>
        <v>||||||||||||||||||||||||||||</v>
      </c>
    </row>
    <row r="62" spans="1:26" x14ac:dyDescent="0.25">
      <c r="M62" s="1" t="str">
        <f t="shared" si="41"/>
        <v>Other Expenses</v>
      </c>
      <c r="N62" s="20">
        <f t="shared" si="42"/>
        <v>0.04</v>
      </c>
      <c r="O62" s="20">
        <v>0.01</v>
      </c>
      <c r="P62" s="7">
        <v>0.72048355510838391</v>
      </c>
      <c r="Q62" s="71" t="str">
        <f t="shared" si="40"/>
        <v>||||||||||||||||||||||||||||</v>
      </c>
    </row>
    <row r="63" spans="1:26" x14ac:dyDescent="0.25">
      <c r="B63" s="1" t="s">
        <v>58</v>
      </c>
      <c r="C63" s="10">
        <f ca="1">1-C65/C61</f>
        <v>-7.3526799296967038E-2</v>
      </c>
      <c r="M63" s="1" t="str">
        <f t="shared" si="41"/>
        <v>Depreication</v>
      </c>
      <c r="N63" s="20">
        <f t="shared" si="42"/>
        <v>0.03</v>
      </c>
      <c r="O63" s="20">
        <v>0.01</v>
      </c>
      <c r="P63" s="7">
        <v>2.3204536224431749E-2</v>
      </c>
      <c r="Q63" s="71" t="str">
        <f t="shared" si="40"/>
        <v/>
      </c>
    </row>
    <row r="64" spans="1:26" x14ac:dyDescent="0.25">
      <c r="M64" s="1" t="str">
        <f t="shared" si="41"/>
        <v>Maintennace Capex</v>
      </c>
      <c r="N64" s="20">
        <f t="shared" si="42"/>
        <v>0.03</v>
      </c>
      <c r="O64" s="20">
        <v>0.01</v>
      </c>
      <c r="P64" s="7">
        <v>0.14899668978856617</v>
      </c>
      <c r="Q64" s="71" t="str">
        <f t="shared" si="40"/>
        <v>|||||</v>
      </c>
    </row>
    <row r="65" spans="2:19" x14ac:dyDescent="0.25">
      <c r="B65" s="1" t="s">
        <v>62</v>
      </c>
      <c r="C65" s="8">
        <f>C74/(1-C72)/C70</f>
        <v>78314.893617021284</v>
      </c>
      <c r="M65" s="1" t="str">
        <f t="shared" si="41"/>
        <v>Capex / New Store</v>
      </c>
      <c r="N65" s="69">
        <f t="shared" si="42"/>
        <v>6.02</v>
      </c>
      <c r="O65" s="1">
        <v>1</v>
      </c>
      <c r="P65" s="7">
        <v>5.8818129394611063E-2</v>
      </c>
      <c r="Q65" s="71" t="str">
        <f t="shared" si="40"/>
        <v>||</v>
      </c>
    </row>
    <row r="66" spans="2:19" x14ac:dyDescent="0.25">
      <c r="M66" s="1" t="str">
        <f t="shared" si="41"/>
        <v>NWC</v>
      </c>
      <c r="N66" s="20">
        <f t="shared" si="42"/>
        <v>-0.01</v>
      </c>
      <c r="O66" s="20">
        <v>0.01</v>
      </c>
      <c r="P66" s="7">
        <v>4.5020625086060306E-2</v>
      </c>
      <c r="Q66" s="71" t="str">
        <f t="shared" si="40"/>
        <v>|</v>
      </c>
    </row>
    <row r="67" spans="2:19" x14ac:dyDescent="0.25">
      <c r="B67" s="1" t="s">
        <v>63</v>
      </c>
      <c r="C67" s="28">
        <v>425</v>
      </c>
      <c r="M67" s="1" t="str">
        <f t="shared" si="41"/>
        <v>IPO Discount Rate</v>
      </c>
      <c r="N67" s="20">
        <f t="shared" si="42"/>
        <v>0.2</v>
      </c>
      <c r="O67" s="20">
        <v>0.02</v>
      </c>
      <c r="P67" s="7">
        <v>0.30896909930664052</v>
      </c>
      <c r="Q67" s="71" t="str">
        <f t="shared" si="40"/>
        <v>||||||||||||</v>
      </c>
    </row>
    <row r="68" spans="2:19" x14ac:dyDescent="0.25">
      <c r="B68" s="1" t="s">
        <v>64</v>
      </c>
      <c r="C68" s="14">
        <f>C69-C67</f>
        <v>4297.2222222222226</v>
      </c>
      <c r="M68" s="1" t="str">
        <f t="shared" si="41"/>
        <v>Discount Rate</v>
      </c>
      <c r="N68" s="20">
        <f t="shared" si="42"/>
        <v>0.12</v>
      </c>
      <c r="O68" s="20">
        <v>0.02</v>
      </c>
      <c r="P68" s="7">
        <v>0</v>
      </c>
      <c r="Q68" s="71" t="str">
        <f t="shared" si="40"/>
        <v/>
      </c>
    </row>
    <row r="69" spans="2:19" ht="13" x14ac:dyDescent="0.3">
      <c r="B69" s="31" t="s">
        <v>65</v>
      </c>
      <c r="C69" s="41">
        <f>C67/9%</f>
        <v>4722.2222222222226</v>
      </c>
      <c r="E69" s="15"/>
      <c r="M69" s="1" t="str">
        <f t="shared" si="41"/>
        <v>Exit Multiple</v>
      </c>
      <c r="N69" s="68">
        <f t="shared" si="42"/>
        <v>20</v>
      </c>
      <c r="O69" s="68">
        <v>2</v>
      </c>
      <c r="P69" s="7">
        <v>3.8726761812888491</v>
      </c>
      <c r="Q69" s="71" t="str">
        <f>REPT("|",P69*40)</f>
        <v>||||||||||||||||||||||||||||||||||||||||||||||||||||||||||||||||||||||||||||||||||||||||||||||||||||||||||||||||||||||||||||||||||||||||||||||||||||||||||</v>
      </c>
    </row>
    <row r="70" spans="2:19" x14ac:dyDescent="0.25">
      <c r="B70" s="9" t="s">
        <v>69</v>
      </c>
      <c r="C70" s="11">
        <f>C67/C69</f>
        <v>0.09</v>
      </c>
    </row>
    <row r="72" spans="2:19" ht="16" x14ac:dyDescent="0.6">
      <c r="B72" s="1" t="s">
        <v>66</v>
      </c>
      <c r="C72" s="42">
        <v>0.06</v>
      </c>
      <c r="M72" s="67" t="s">
        <v>77</v>
      </c>
      <c r="N72" s="67" t="s">
        <v>81</v>
      </c>
      <c r="O72" s="67" t="s">
        <v>81</v>
      </c>
    </row>
    <row r="73" spans="2:19" x14ac:dyDescent="0.25">
      <c r="M73" s="1" t="s">
        <v>78</v>
      </c>
      <c r="N73" s="20">
        <v>0.6</v>
      </c>
      <c r="O73" s="8">
        <f>N73*$O$76</f>
        <v>3975.2639999999997</v>
      </c>
    </row>
    <row r="74" spans="2:19" x14ac:dyDescent="0.25">
      <c r="B74" s="1" t="s">
        <v>68</v>
      </c>
      <c r="C74" s="43">
        <f>963*6.88</f>
        <v>6625.44</v>
      </c>
      <c r="M74" s="1" t="s">
        <v>79</v>
      </c>
      <c r="N74" s="20">
        <v>0.2</v>
      </c>
      <c r="O74" s="8">
        <f t="shared" ref="O74:O75" si="43">N74*$O$76</f>
        <v>1325.088</v>
      </c>
    </row>
    <row r="75" spans="2:19" ht="13" x14ac:dyDescent="0.3">
      <c r="B75" s="48" t="s">
        <v>67</v>
      </c>
      <c r="C75" s="49">
        <f>C65+C74</f>
        <v>84940.333617021286</v>
      </c>
      <c r="M75" s="1" t="s">
        <v>80</v>
      </c>
      <c r="N75" s="20">
        <v>0.2</v>
      </c>
      <c r="O75" s="8">
        <f t="shared" si="43"/>
        <v>1325.088</v>
      </c>
    </row>
    <row r="76" spans="2:19" ht="13" x14ac:dyDescent="0.3">
      <c r="B76" s="1" t="s">
        <v>70</v>
      </c>
      <c r="C76" s="29">
        <f>C69</f>
        <v>4722.2222222222226</v>
      </c>
      <c r="M76" s="31" t="s">
        <v>82</v>
      </c>
      <c r="N76" s="72">
        <f>SUM(N73:N75)</f>
        <v>1</v>
      </c>
      <c r="O76" s="73">
        <f>C74</f>
        <v>6625.44</v>
      </c>
    </row>
    <row r="77" spans="2:19" ht="13" x14ac:dyDescent="0.3">
      <c r="B77" s="44" t="s">
        <v>71</v>
      </c>
      <c r="C77" s="47">
        <f>C75/C76</f>
        <v>17.987364765957448</v>
      </c>
    </row>
    <row r="78" spans="2:19" x14ac:dyDescent="0.25">
      <c r="N78" s="15"/>
    </row>
    <row r="79" spans="2:19" ht="16" x14ac:dyDescent="0.6">
      <c r="M79" s="4" t="s">
        <v>2</v>
      </c>
      <c r="N79" s="5">
        <v>43465</v>
      </c>
      <c r="O79" s="5">
        <f>N79+365</f>
        <v>43830</v>
      </c>
      <c r="P79" s="5">
        <f t="shared" ref="P79:S79" si="44">O79+365</f>
        <v>44195</v>
      </c>
      <c r="Q79" s="5">
        <f t="shared" si="44"/>
        <v>44560</v>
      </c>
      <c r="R79" s="5">
        <f t="shared" si="44"/>
        <v>44925</v>
      </c>
      <c r="S79" s="5">
        <f t="shared" si="44"/>
        <v>45290</v>
      </c>
    </row>
    <row r="80" spans="2:19" x14ac:dyDescent="0.25">
      <c r="M80" s="1" t="s">
        <v>83</v>
      </c>
      <c r="N80" s="22">
        <f ca="1">-N36</f>
        <v>-6.02</v>
      </c>
    </row>
    <row r="81" spans="1:20" x14ac:dyDescent="0.25">
      <c r="M81" s="1" t="s">
        <v>84</v>
      </c>
      <c r="O81" s="22">
        <f>O24*20%*75%</f>
        <v>3.75</v>
      </c>
      <c r="P81" s="22">
        <f>O81*1.2</f>
        <v>4.5</v>
      </c>
      <c r="Q81" s="22">
        <f>P81*1.15</f>
        <v>5.1749999999999998</v>
      </c>
      <c r="R81" s="22">
        <f>Q81*1.06</f>
        <v>5.4855</v>
      </c>
      <c r="S81" s="22">
        <f>R81*1.06</f>
        <v>5.8146300000000002</v>
      </c>
      <c r="T81" s="15"/>
    </row>
    <row r="82" spans="1:20" ht="13" x14ac:dyDescent="0.3">
      <c r="A82" s="1" t="s">
        <v>0</v>
      </c>
      <c r="B82" s="2" t="s">
        <v>101</v>
      </c>
      <c r="C82" s="2"/>
      <c r="M82" s="1" t="s">
        <v>89</v>
      </c>
      <c r="S82" s="8"/>
    </row>
    <row r="83" spans="1:20" ht="13" x14ac:dyDescent="0.3">
      <c r="B83" s="1" t="s">
        <v>52</v>
      </c>
      <c r="C83" s="8">
        <f ca="1">NPV($N$39,$D$47:$H$47)</f>
        <v>8201.0461836014638</v>
      </c>
      <c r="M83" s="44" t="s">
        <v>24</v>
      </c>
      <c r="N83" s="45">
        <f ca="1">SUM(N80:N82)</f>
        <v>-6.02</v>
      </c>
      <c r="O83" s="45">
        <f t="shared" ref="O83:S83" si="45">SUM(O80:O82)</f>
        <v>3.75</v>
      </c>
      <c r="P83" s="45">
        <f t="shared" si="45"/>
        <v>4.5</v>
      </c>
      <c r="Q83" s="45">
        <f t="shared" si="45"/>
        <v>5.1749999999999998</v>
      </c>
      <c r="R83" s="45">
        <f t="shared" si="45"/>
        <v>5.4855</v>
      </c>
      <c r="S83" s="45">
        <f t="shared" si="45"/>
        <v>5.8146300000000002</v>
      </c>
    </row>
    <row r="84" spans="1:20" ht="13" thickBot="1" x14ac:dyDescent="0.3">
      <c r="B84" s="1" t="s">
        <v>53</v>
      </c>
      <c r="C84" s="8">
        <f ca="1">$H$38*$N$40/(1+$N$39)^5</f>
        <v>65312.991152688861</v>
      </c>
    </row>
    <row r="85" spans="1:20" ht="13.5" thickBot="1" x14ac:dyDescent="0.35">
      <c r="B85" s="44" t="s">
        <v>54</v>
      </c>
      <c r="C85" s="45">
        <f ca="1">SUM(C83:C84)</f>
        <v>73514.037336290319</v>
      </c>
      <c r="M85" s="75" t="s">
        <v>90</v>
      </c>
      <c r="N85" s="76">
        <f ca="1">IRR(N83:S83)</f>
        <v>0.68260183007916053</v>
      </c>
    </row>
    <row r="86" spans="1:20" x14ac:dyDescent="0.25">
      <c r="B86" s="1" t="s">
        <v>55</v>
      </c>
      <c r="C86" s="28">
        <f>-1094</f>
        <v>-1094</v>
      </c>
    </row>
    <row r="87" spans="1:20" x14ac:dyDescent="0.25">
      <c r="B87" s="1" t="s">
        <v>56</v>
      </c>
      <c r="C87" s="6">
        <v>531</v>
      </c>
    </row>
    <row r="88" spans="1:20" ht="13" x14ac:dyDescent="0.3">
      <c r="B88" s="44" t="s">
        <v>57</v>
      </c>
      <c r="C88" s="45">
        <f ca="1">SUM(C85:C87)</f>
        <v>72951.037336290319</v>
      </c>
      <c r="M88" s="1" t="s">
        <v>2</v>
      </c>
      <c r="N88" s="3">
        <f>C19</f>
        <v>43465</v>
      </c>
      <c r="O88" s="3">
        <f t="shared" ref="O88:S88" si="46">D19</f>
        <v>43830</v>
      </c>
      <c r="P88" s="3">
        <f t="shared" si="46"/>
        <v>44195</v>
      </c>
      <c r="Q88" s="3">
        <f t="shared" si="46"/>
        <v>44560</v>
      </c>
      <c r="R88" s="3">
        <f t="shared" si="46"/>
        <v>44925</v>
      </c>
      <c r="S88" s="3">
        <f t="shared" si="46"/>
        <v>45290</v>
      </c>
    </row>
    <row r="89" spans="1:20" x14ac:dyDescent="0.25">
      <c r="M89" s="1" t="s">
        <v>4</v>
      </c>
      <c r="N89" s="8">
        <f>C21</f>
        <v>13223</v>
      </c>
      <c r="O89" s="8">
        <f t="shared" ref="O89:S89" ca="1" si="47">D21</f>
        <v>17016.380000000005</v>
      </c>
      <c r="P89" s="8">
        <f t="shared" ca="1" si="47"/>
        <v>20957.362800000003</v>
      </c>
      <c r="Q89" s="8">
        <f t="shared" ca="1" si="47"/>
        <v>25388.804568000003</v>
      </c>
      <c r="R89" s="8">
        <f t="shared" ca="1" si="47"/>
        <v>29532.132842080006</v>
      </c>
      <c r="S89" s="8">
        <f t="shared" ca="1" si="47"/>
        <v>33854.06081260481</v>
      </c>
    </row>
    <row r="90" spans="1:20" ht="13" thickBot="1" x14ac:dyDescent="0.3">
      <c r="B90" s="1" t="s">
        <v>58</v>
      </c>
      <c r="C90" s="10">
        <f ca="1">$N$38</f>
        <v>0.2</v>
      </c>
      <c r="M90" s="1" t="s">
        <v>5</v>
      </c>
      <c r="N90" s="1">
        <f>C13</f>
        <v>363</v>
      </c>
      <c r="O90" s="1">
        <f t="shared" ref="O90:S90" ca="1" si="48">D13</f>
        <v>483</v>
      </c>
      <c r="P90" s="1">
        <f t="shared" ca="1" si="48"/>
        <v>583</v>
      </c>
      <c r="Q90" s="1">
        <f t="shared" ca="1" si="48"/>
        <v>683</v>
      </c>
      <c r="R90" s="1">
        <f t="shared" ca="1" si="48"/>
        <v>763</v>
      </c>
      <c r="S90" s="1">
        <f t="shared" ca="1" si="48"/>
        <v>843</v>
      </c>
    </row>
    <row r="91" spans="1:20" x14ac:dyDescent="0.25">
      <c r="B91" s="1" t="s">
        <v>62</v>
      </c>
      <c r="C91" s="8">
        <f ca="1">C88*(1-C90)</f>
        <v>58360.829869032255</v>
      </c>
      <c r="M91" s="78" t="s">
        <v>102</v>
      </c>
      <c r="N91" s="79">
        <v>0.25</v>
      </c>
      <c r="O91" s="79">
        <v>0.15</v>
      </c>
      <c r="P91" s="79">
        <v>0.06</v>
      </c>
      <c r="Q91" s="79">
        <v>0.06</v>
      </c>
      <c r="R91" s="79">
        <v>0.06</v>
      </c>
      <c r="S91" s="80">
        <v>0.06</v>
      </c>
    </row>
    <row r="92" spans="1:20" x14ac:dyDescent="0.25">
      <c r="M92" s="81" t="s">
        <v>103</v>
      </c>
      <c r="N92" s="1">
        <f>C25</f>
        <v>0</v>
      </c>
      <c r="O92" s="82">
        <f t="shared" ref="O92:S92" ca="1" si="49">D25</f>
        <v>-3.2843685221919161E-2</v>
      </c>
      <c r="P92" s="82">
        <f t="shared" ca="1" si="49"/>
        <v>2.0347329710527218E-2</v>
      </c>
      <c r="Q92" s="82">
        <f t="shared" ca="1" si="49"/>
        <v>3.4078412834052774E-2</v>
      </c>
      <c r="R92" s="82">
        <f t="shared" ca="1" si="49"/>
        <v>4.1234924263210848E-2</v>
      </c>
      <c r="S92" s="83">
        <f t="shared" ca="1" si="49"/>
        <v>3.7559282177814346E-2</v>
      </c>
    </row>
    <row r="93" spans="1:20" ht="13" thickBot="1" x14ac:dyDescent="0.3">
      <c r="B93" s="1" t="s">
        <v>63</v>
      </c>
      <c r="C93" s="28">
        <v>425</v>
      </c>
      <c r="M93" s="84" t="s">
        <v>104</v>
      </c>
      <c r="N93" s="85"/>
      <c r="O93" s="85">
        <f ca="1">(D13-C13)</f>
        <v>120</v>
      </c>
      <c r="P93" s="85">
        <f t="shared" ref="P93:S93" ca="1" si="50">(E13-D13)</f>
        <v>100</v>
      </c>
      <c r="Q93" s="85">
        <f t="shared" ca="1" si="50"/>
        <v>100</v>
      </c>
      <c r="R93" s="85">
        <f t="shared" ca="1" si="50"/>
        <v>80</v>
      </c>
      <c r="S93" s="86">
        <f t="shared" ca="1" si="50"/>
        <v>80</v>
      </c>
    </row>
    <row r="94" spans="1:20" x14ac:dyDescent="0.25">
      <c r="B94" s="1" t="s">
        <v>64</v>
      </c>
      <c r="C94" s="14">
        <f>C95-C93</f>
        <v>4297.2222222222226</v>
      </c>
    </row>
    <row r="95" spans="1:20" ht="13" x14ac:dyDescent="0.3">
      <c r="B95" s="31" t="s">
        <v>65</v>
      </c>
      <c r="C95" s="41">
        <f>C93/9%</f>
        <v>4722.2222222222226</v>
      </c>
    </row>
    <row r="96" spans="1:20" x14ac:dyDescent="0.25">
      <c r="B96" s="9" t="s">
        <v>69</v>
      </c>
      <c r="C96" s="11">
        <f>C93/C95</f>
        <v>0.09</v>
      </c>
    </row>
    <row r="97" spans="2:19" ht="16" x14ac:dyDescent="0.6">
      <c r="M97" s="4" t="s">
        <v>2</v>
      </c>
      <c r="N97" s="5">
        <v>43465</v>
      </c>
      <c r="O97" s="5">
        <f>N97+365</f>
        <v>43830</v>
      </c>
      <c r="P97" s="5">
        <f t="shared" ref="P97:S97" si="51">O97+365</f>
        <v>44195</v>
      </c>
      <c r="Q97" s="5">
        <f t="shared" si="51"/>
        <v>44560</v>
      </c>
      <c r="R97" s="5">
        <f t="shared" si="51"/>
        <v>44925</v>
      </c>
      <c r="S97" s="5">
        <f t="shared" si="51"/>
        <v>45290</v>
      </c>
    </row>
    <row r="98" spans="2:19" x14ac:dyDescent="0.25">
      <c r="B98" s="1" t="s">
        <v>66</v>
      </c>
      <c r="C98" s="42">
        <v>0.06</v>
      </c>
      <c r="M98" s="1" t="s">
        <v>4</v>
      </c>
      <c r="N98" s="1">
        <f>C21</f>
        <v>13223</v>
      </c>
      <c r="O98" s="8">
        <f ca="1">D21</f>
        <v>17016.380000000005</v>
      </c>
      <c r="P98" s="8">
        <f t="shared" ref="P98:S98" ca="1" si="52">E21</f>
        <v>20957.362800000003</v>
      </c>
      <c r="Q98" s="8">
        <f t="shared" ca="1" si="52"/>
        <v>25388.804568000003</v>
      </c>
      <c r="R98" s="8">
        <f t="shared" ca="1" si="52"/>
        <v>29532.132842080006</v>
      </c>
      <c r="S98" s="8">
        <f t="shared" ca="1" si="52"/>
        <v>33854.06081260481</v>
      </c>
    </row>
    <row r="99" spans="2:19" x14ac:dyDescent="0.25">
      <c r="M99" s="9" t="s">
        <v>7</v>
      </c>
      <c r="O99" s="10">
        <f ca="1">D22</f>
        <v>0.28687741057248761</v>
      </c>
      <c r="P99" s="10">
        <f t="shared" ref="P99:S99" ca="1" si="53">E22</f>
        <v>0.23159936484728227</v>
      </c>
      <c r="Q99" s="10">
        <f t="shared" ca="1" si="53"/>
        <v>0.21145035328586292</v>
      </c>
      <c r="R99" s="10">
        <f t="shared" ca="1" si="53"/>
        <v>0.16319509108759878</v>
      </c>
      <c r="S99" s="10">
        <f t="shared" ca="1" si="53"/>
        <v>0.14634662500117623</v>
      </c>
    </row>
    <row r="100" spans="2:19" x14ac:dyDescent="0.25">
      <c r="B100" s="1" t="s">
        <v>68</v>
      </c>
      <c r="C100" s="43">
        <f>963*6.88</f>
        <v>6625.44</v>
      </c>
      <c r="M100" s="36" t="s">
        <v>6</v>
      </c>
      <c r="N100" s="46">
        <f>C24</f>
        <v>36.426997245179066</v>
      </c>
      <c r="O100" s="46">
        <f ca="1">D24</f>
        <v>35.230600414078687</v>
      </c>
      <c r="P100" s="46">
        <f t="shared" ref="P100:S100" ca="1" si="54">E24</f>
        <v>35.94744905660378</v>
      </c>
      <c r="Q100" s="46">
        <f t="shared" ca="1" si="54"/>
        <v>37.172481065885805</v>
      </c>
      <c r="R100" s="46">
        <f t="shared" ca="1" si="54"/>
        <v>38.705285507313242</v>
      </c>
      <c r="S100" s="46">
        <f t="shared" ca="1" si="54"/>
        <v>40.159028247455289</v>
      </c>
    </row>
    <row r="101" spans="2:19" ht="13" x14ac:dyDescent="0.3">
      <c r="B101" s="48" t="s">
        <v>67</v>
      </c>
      <c r="C101" s="49">
        <f ca="1">C91+C100</f>
        <v>64986.269869032258</v>
      </c>
      <c r="M101" s="9" t="s">
        <v>7</v>
      </c>
      <c r="O101" s="10">
        <f ca="1">D25</f>
        <v>-3.2843685221919161E-2</v>
      </c>
      <c r="P101" s="10">
        <f t="shared" ref="P101:S101" ca="1" si="55">E25</f>
        <v>2.0347329710527218E-2</v>
      </c>
      <c r="Q101" s="10">
        <f t="shared" ca="1" si="55"/>
        <v>3.4078412834052774E-2</v>
      </c>
      <c r="R101" s="10">
        <f t="shared" ca="1" si="55"/>
        <v>4.1234924263210848E-2</v>
      </c>
      <c r="S101" s="10">
        <f t="shared" ca="1" si="55"/>
        <v>3.7559282177814346E-2</v>
      </c>
    </row>
    <row r="102" spans="2:19" x14ac:dyDescent="0.25">
      <c r="B102" s="1" t="s">
        <v>70</v>
      </c>
      <c r="C102" s="29">
        <f>C95</f>
        <v>4722.2222222222226</v>
      </c>
    </row>
    <row r="103" spans="2:19" ht="13" x14ac:dyDescent="0.3">
      <c r="B103" s="44" t="s">
        <v>71</v>
      </c>
      <c r="C103" s="47">
        <f ca="1">C101/C102</f>
        <v>13.761798325206829</v>
      </c>
      <c r="M103" s="38" t="s">
        <v>17</v>
      </c>
      <c r="N103" s="77">
        <f>C38</f>
        <v>2711</v>
      </c>
      <c r="O103" s="77">
        <f ca="1">D38</f>
        <v>3369.5366480496123</v>
      </c>
      <c r="P103" s="77">
        <f t="shared" ref="P103:S103" ca="1" si="56">E38</f>
        <v>4003.1273156756588</v>
      </c>
      <c r="Q103" s="77">
        <f t="shared" ca="1" si="56"/>
        <v>4671.7589260690456</v>
      </c>
      <c r="R103" s="77">
        <f t="shared" ca="1" si="56"/>
        <v>5227.3148163508977</v>
      </c>
      <c r="S103" s="77">
        <f t="shared" ca="1" si="56"/>
        <v>5755.1903381428219</v>
      </c>
    </row>
    <row r="104" spans="2:19" x14ac:dyDescent="0.25">
      <c r="C104" s="7"/>
      <c r="M104" s="1" t="s">
        <v>35</v>
      </c>
      <c r="N104" s="10">
        <f>C39</f>
        <v>0.20502155335400438</v>
      </c>
      <c r="O104" s="10">
        <f ca="1">D39</f>
        <v>0.19801724268320356</v>
      </c>
      <c r="P104" s="10">
        <f t="shared" ref="P104:S104" ca="1" si="57">E39</f>
        <v>0.19101293201240274</v>
      </c>
      <c r="Q104" s="10">
        <f t="shared" ca="1" si="57"/>
        <v>0.18400862134160192</v>
      </c>
      <c r="R104" s="10">
        <f t="shared" ca="1" si="57"/>
        <v>0.17700431067080111</v>
      </c>
      <c r="S104" s="10">
        <f t="shared" ca="1" si="57"/>
        <v>0.17000000000000012</v>
      </c>
    </row>
    <row r="106" spans="2:19" ht="13" x14ac:dyDescent="0.3">
      <c r="M106" s="32" t="s">
        <v>24</v>
      </c>
      <c r="N106" s="33">
        <f>C47</f>
        <v>2155.5</v>
      </c>
      <c r="O106" s="33">
        <f ca="1">D47</f>
        <v>1508.8060667911984</v>
      </c>
      <c r="P106" s="33">
        <f t="shared" ref="P106:S106" ca="1" si="58">E47</f>
        <v>1990.1602105565776</v>
      </c>
      <c r="Q106" s="33">
        <f t="shared" ca="1" si="58"/>
        <v>2392.6094794258602</v>
      </c>
      <c r="R106" s="33">
        <f t="shared" ca="1" si="58"/>
        <v>2826.1546234913881</v>
      </c>
      <c r="S106" s="33">
        <f t="shared" ca="1" si="58"/>
        <v>3116.2956650287556</v>
      </c>
    </row>
    <row r="107" spans="2:19" x14ac:dyDescent="0.25">
      <c r="M107" s="1" t="s">
        <v>100</v>
      </c>
      <c r="N107" s="21">
        <f>C49</f>
        <v>0.79509406123201776</v>
      </c>
      <c r="O107" s="21">
        <f ca="1">D49</f>
        <v>0.44777850024707111</v>
      </c>
      <c r="P107" s="21">
        <f t="shared" ref="P107:S107" ca="1" si="59">E49</f>
        <v>0.49715136532465565</v>
      </c>
      <c r="Q107" s="21">
        <f t="shared" ca="1" si="59"/>
        <v>0.51214318146314786</v>
      </c>
      <c r="R107" s="21">
        <f t="shared" ca="1" si="59"/>
        <v>0.54065131387366483</v>
      </c>
      <c r="S107" s="21">
        <f t="shared" ca="1" si="59"/>
        <v>0.54147569097330195</v>
      </c>
    </row>
    <row r="109" spans="2:19" x14ac:dyDescent="0.25">
      <c r="C109" s="7"/>
    </row>
    <row r="110" spans="2:19" x14ac:dyDescent="0.25">
      <c r="B110" s="1" t="str">
        <f>B32</f>
        <v>Staff Costs</v>
      </c>
      <c r="C110" s="11">
        <f>-C32/C$21</f>
        <v>0.25644709975043484</v>
      </c>
      <c r="D110" s="11">
        <f t="shared" ref="D110:G114" ca="1" si="60">C110+($H110-$C110)/5</f>
        <v>0.25715767980034787</v>
      </c>
      <c r="E110" s="11">
        <f t="shared" ca="1" si="60"/>
        <v>0.25786825985026091</v>
      </c>
      <c r="F110" s="11">
        <f t="shared" ca="1" si="60"/>
        <v>0.25857883990017394</v>
      </c>
      <c r="G110" s="11">
        <f t="shared" ca="1" si="60"/>
        <v>0.25928941995008697</v>
      </c>
      <c r="H110" s="20">
        <f ca="1">N29</f>
        <v>0.26</v>
      </c>
      <c r="I110" s="11"/>
    </row>
    <row r="111" spans="2:19" x14ac:dyDescent="0.25">
      <c r="B111" s="1" t="str">
        <f>B33</f>
        <v>Property Rentals</v>
      </c>
      <c r="C111" s="11">
        <f>-C33/C$21</f>
        <v>3.8342282386750359E-2</v>
      </c>
      <c r="D111" s="11">
        <f t="shared" ca="1" si="60"/>
        <v>3.8673825909400286E-2</v>
      </c>
      <c r="E111" s="11">
        <f t="shared" ca="1" si="60"/>
        <v>3.9005369432050213E-2</v>
      </c>
      <c r="F111" s="11">
        <f t="shared" ca="1" si="60"/>
        <v>3.933691295470014E-2</v>
      </c>
      <c r="G111" s="11">
        <f t="shared" ca="1" si="60"/>
        <v>3.9668456477350067E-2</v>
      </c>
      <c r="H111" s="20">
        <f ca="1">N30</f>
        <v>0.04</v>
      </c>
      <c r="I111" s="11"/>
      <c r="M111" s="1" t="s">
        <v>92</v>
      </c>
    </row>
    <row r="112" spans="2:19" x14ac:dyDescent="0.25">
      <c r="B112" s="1" t="str">
        <f>B34</f>
        <v>Utilities Expense</v>
      </c>
      <c r="C112" s="11">
        <f>-C34/C$21</f>
        <v>3.4258488996445589E-2</v>
      </c>
      <c r="D112" s="11">
        <f t="shared" ca="1" si="60"/>
        <v>3.340679119715647E-2</v>
      </c>
      <c r="E112" s="11">
        <f t="shared" ca="1" si="60"/>
        <v>3.255509339786735E-2</v>
      </c>
      <c r="F112" s="11">
        <f t="shared" ca="1" si="60"/>
        <v>3.1703395598578231E-2</v>
      </c>
      <c r="G112" s="11">
        <f t="shared" ca="1" si="60"/>
        <v>3.0851697799289111E-2</v>
      </c>
      <c r="H112" s="20">
        <f ca="1">N31</f>
        <v>0.03</v>
      </c>
      <c r="I112" s="11"/>
    </row>
    <row r="113" spans="2:19" x14ac:dyDescent="0.25">
      <c r="B113" s="1" t="str">
        <f>B35</f>
        <v>Traveling Expenses</v>
      </c>
      <c r="C113" s="11">
        <f>-C35/C$21</f>
        <v>1.0890115707479392E-2</v>
      </c>
      <c r="D113" s="11">
        <f t="shared" ca="1" si="60"/>
        <v>1.0712092565983513E-2</v>
      </c>
      <c r="E113" s="11">
        <f t="shared" ca="1" si="60"/>
        <v>1.0534069424487634E-2</v>
      </c>
      <c r="F113" s="11">
        <f t="shared" ca="1" si="60"/>
        <v>1.0356046282991756E-2</v>
      </c>
      <c r="G113" s="11">
        <f t="shared" ca="1" si="60"/>
        <v>1.0178023141495877E-2</v>
      </c>
      <c r="H113" s="20">
        <f ca="1">N32</f>
        <v>0.01</v>
      </c>
      <c r="I113" s="11"/>
      <c r="M113" s="1" t="s">
        <v>2</v>
      </c>
      <c r="N113" s="3">
        <f>N88</f>
        <v>43465</v>
      </c>
      <c r="O113" s="3">
        <f>O88</f>
        <v>43830</v>
      </c>
      <c r="P113" s="3">
        <f>P88</f>
        <v>44195</v>
      </c>
      <c r="Q113" s="3">
        <f>Q88</f>
        <v>44560</v>
      </c>
      <c r="R113" s="3">
        <f>R88</f>
        <v>44925</v>
      </c>
      <c r="S113" s="3" t="s">
        <v>85</v>
      </c>
    </row>
    <row r="114" spans="2:19" x14ac:dyDescent="0.25">
      <c r="B114" s="1" t="str">
        <f>B36</f>
        <v>Other Expenses</v>
      </c>
      <c r="C114" s="11">
        <f>-C36/C$21</f>
        <v>4.4392346668683358E-2</v>
      </c>
      <c r="D114" s="11">
        <f t="shared" ca="1" si="60"/>
        <v>4.3513877334946688E-2</v>
      </c>
      <c r="E114" s="11">
        <f t="shared" ca="1" si="60"/>
        <v>4.2635408001210018E-2</v>
      </c>
      <c r="F114" s="11">
        <f t="shared" ca="1" si="60"/>
        <v>4.1756938667473348E-2</v>
      </c>
      <c r="G114" s="11">
        <f t="shared" ca="1" si="60"/>
        <v>4.0878469333736678E-2</v>
      </c>
      <c r="H114" s="20">
        <f ca="1">N33</f>
        <v>0.04</v>
      </c>
      <c r="I114" s="11"/>
      <c r="M114" s="1" t="s">
        <v>91</v>
      </c>
      <c r="N114" s="1">
        <v>481</v>
      </c>
      <c r="O114" s="1">
        <v>530</v>
      </c>
      <c r="P114" s="1">
        <v>584</v>
      </c>
      <c r="Q114" s="1">
        <v>644</v>
      </c>
      <c r="R114" s="1">
        <v>708</v>
      </c>
      <c r="S114" s="10">
        <f>_xlfn.RRI(5,436,R114)</f>
        <v>0.1018167078356047</v>
      </c>
    </row>
    <row r="115" spans="2:19" x14ac:dyDescent="0.25">
      <c r="M115" s="1" t="s">
        <v>93</v>
      </c>
      <c r="N115" s="1">
        <v>3004</v>
      </c>
      <c r="O115" s="1">
        <v>3276</v>
      </c>
      <c r="P115" s="1">
        <v>3567</v>
      </c>
      <c r="Q115" s="1">
        <v>3871</v>
      </c>
      <c r="R115" s="1">
        <v>4181</v>
      </c>
      <c r="S115" s="11">
        <f>_xlfn.RRI(5,2755,R115)</f>
        <v>8.7005428290282349E-2</v>
      </c>
    </row>
    <row r="116" spans="2:19" x14ac:dyDescent="0.25">
      <c r="B116" s="1" t="s">
        <v>46</v>
      </c>
      <c r="C116" s="8">
        <f>-359+163-293</f>
        <v>-489</v>
      </c>
      <c r="D116" s="14">
        <f ca="1">-D117*D21</f>
        <v>-605.52472301595719</v>
      </c>
      <c r="E116" s="14">
        <f ca="1">-E117*E21</f>
        <v>-716.50311919933461</v>
      </c>
      <c r="F116" s="14">
        <f ca="1">-F117*F21</f>
        <v>-832.56001693630446</v>
      </c>
      <c r="G116" s="14">
        <f ca="1">-G117*G21</f>
        <v>-927.19685499925868</v>
      </c>
      <c r="H116" s="14">
        <f ca="1">-H117*H21</f>
        <v>-1015.6218243781443</v>
      </c>
      <c r="M116" s="1" t="s">
        <v>82</v>
      </c>
      <c r="N116" s="1">
        <f>SUM(N114:N115)</f>
        <v>3485</v>
      </c>
      <c r="O116" s="1">
        <f t="shared" ref="O116:R116" si="61">SUM(O114:O115)</f>
        <v>3806</v>
      </c>
      <c r="P116" s="1">
        <f t="shared" si="61"/>
        <v>4151</v>
      </c>
      <c r="Q116" s="1">
        <f t="shared" si="61"/>
        <v>4515</v>
      </c>
      <c r="R116" s="1">
        <f t="shared" si="61"/>
        <v>4889</v>
      </c>
    </row>
    <row r="117" spans="2:19" x14ac:dyDescent="0.25">
      <c r="B117" s="1" t="s">
        <v>47</v>
      </c>
      <c r="C117" s="11">
        <f>-C116/C21</f>
        <v>3.6981017923315436E-2</v>
      </c>
      <c r="D117" s="11">
        <f ca="1">C117+($H117-$C117)/5</f>
        <v>3.5584814338652349E-2</v>
      </c>
      <c r="E117" s="11">
        <f ca="1">D117+($H117-$C117)/5</f>
        <v>3.4188610753989261E-2</v>
      </c>
      <c r="F117" s="11">
        <f ca="1">E117+($H117-$C117)/5</f>
        <v>3.2792407169326174E-2</v>
      </c>
      <c r="G117" s="11">
        <f ca="1">F117+($H117-$C117)/5</f>
        <v>3.1396203584663086E-2</v>
      </c>
      <c r="H117" s="1">
        <f ca="1">$N$34</f>
        <v>0.03</v>
      </c>
    </row>
    <row r="119" spans="2:19" x14ac:dyDescent="0.25">
      <c r="B119" s="1" t="s">
        <v>23</v>
      </c>
      <c r="C119" s="1">
        <f>325+568-(411+589)</f>
        <v>-107</v>
      </c>
      <c r="D119" s="15">
        <f ca="1">$N$37*D21</f>
        <v>-170.16380000000004</v>
      </c>
      <c r="E119" s="15">
        <f ca="1">$N$37*E21</f>
        <v>-209.57362800000004</v>
      </c>
      <c r="F119" s="15">
        <f ca="1">$N$37*F21</f>
        <v>-253.88804568000003</v>
      </c>
      <c r="G119" s="15">
        <f ca="1">$N$37*G21</f>
        <v>-295.32132842080006</v>
      </c>
      <c r="H119" s="15">
        <f ca="1">$N$37*H21</f>
        <v>-338.54060812604808</v>
      </c>
    </row>
    <row r="120" spans="2:19" x14ac:dyDescent="0.25">
      <c r="C120" s="10">
        <f>C119/$C21</f>
        <v>-8.0919609770853818E-3</v>
      </c>
    </row>
    <row r="129" spans="13:19" x14ac:dyDescent="0.25">
      <c r="M129" s="1" t="s">
        <v>94</v>
      </c>
    </row>
    <row r="130" spans="13:19" x14ac:dyDescent="0.25">
      <c r="M130" s="1" t="s">
        <v>2</v>
      </c>
      <c r="N130" s="3">
        <f>N113</f>
        <v>43465</v>
      </c>
      <c r="O130" s="3">
        <f>O113</f>
        <v>43830</v>
      </c>
      <c r="P130" s="3">
        <f>P113</f>
        <v>44195</v>
      </c>
      <c r="Q130" s="3">
        <f>Q113</f>
        <v>44560</v>
      </c>
      <c r="R130" s="3">
        <f>R113</f>
        <v>44925</v>
      </c>
      <c r="S130" s="3" t="s">
        <v>85</v>
      </c>
    </row>
    <row r="131" spans="13:19" x14ac:dyDescent="0.25">
      <c r="M131" s="1" t="s">
        <v>95</v>
      </c>
      <c r="N131" s="1">
        <v>41</v>
      </c>
      <c r="O131" s="8">
        <f>N131*(1+$S$131)</f>
        <v>45.498481614168377</v>
      </c>
      <c r="P131" s="8">
        <f t="shared" ref="P131:Q132" si="62">O131*(1+$S$131)</f>
        <v>50.490532419385801</v>
      </c>
      <c r="Q131" s="8">
        <f t="shared" si="62"/>
        <v>56.030306365195059</v>
      </c>
      <c r="R131" s="1">
        <v>69</v>
      </c>
      <c r="S131" s="10">
        <f>_xlfn.RRI(5,N131,R131)</f>
        <v>0.10971906376020435</v>
      </c>
    </row>
    <row r="132" spans="13:19" x14ac:dyDescent="0.25">
      <c r="M132" s="1" t="s">
        <v>96</v>
      </c>
      <c r="N132" s="1">
        <v>395</v>
      </c>
      <c r="O132" s="8">
        <f>N132*(1+$S$131)</f>
        <v>438.33903018528071</v>
      </c>
      <c r="P132" s="8">
        <f t="shared" si="62"/>
        <v>486.43317818676564</v>
      </c>
      <c r="Q132" s="8">
        <f t="shared" si="62"/>
        <v>539.80417107931828</v>
      </c>
      <c r="R132" s="1">
        <v>639</v>
      </c>
      <c r="S132" s="10">
        <f>_xlfn.RRI(5,N132,R132)</f>
        <v>0.10098335317621743</v>
      </c>
    </row>
    <row r="134" spans="13:19" x14ac:dyDescent="0.25">
      <c r="M134" s="1" t="s">
        <v>2</v>
      </c>
      <c r="N134" s="3">
        <f>N130</f>
        <v>43465</v>
      </c>
      <c r="O134" s="3">
        <f t="shared" ref="O134:R134" si="63">O130</f>
        <v>43830</v>
      </c>
      <c r="P134" s="3">
        <f t="shared" si="63"/>
        <v>44195</v>
      </c>
      <c r="Q134" s="3">
        <f t="shared" si="63"/>
        <v>44560</v>
      </c>
      <c r="R134" s="3">
        <f t="shared" si="63"/>
        <v>44925</v>
      </c>
      <c r="S134" s="3" t="s">
        <v>85</v>
      </c>
    </row>
    <row r="135" spans="13:19" x14ac:dyDescent="0.25">
      <c r="M135" s="1" t="s">
        <v>97</v>
      </c>
      <c r="N135" s="1">
        <v>5</v>
      </c>
      <c r="O135" s="8">
        <f>N135*(1+$S$135)</f>
        <v>5.6237305657104741</v>
      </c>
      <c r="P135" s="8">
        <f t="shared" ref="P135:Q135" si="64">O135*(1+$S$135)</f>
        <v>6.32526909514125</v>
      </c>
      <c r="Q135" s="8">
        <f t="shared" si="64"/>
        <v>7.1143218293379364</v>
      </c>
      <c r="R135" s="1">
        <v>9</v>
      </c>
      <c r="S135" s="10">
        <f>_xlfn.RRI(5,N135,R135)</f>
        <v>0.12474611314209483</v>
      </c>
    </row>
    <row r="136" spans="13:19" x14ac:dyDescent="0.25">
      <c r="M136" s="1" t="s">
        <v>98</v>
      </c>
      <c r="N136" s="1">
        <v>124</v>
      </c>
      <c r="O136" s="8">
        <f t="shared" ref="O136:Q136" si="65">N136*(1+$S$135)</f>
        <v>139.46851802961976</v>
      </c>
      <c r="P136" s="8">
        <f t="shared" si="65"/>
        <v>156.866673559503</v>
      </c>
      <c r="Q136" s="8">
        <f t="shared" si="65"/>
        <v>176.43518136758081</v>
      </c>
      <c r="R136" s="1">
        <v>212</v>
      </c>
      <c r="S136" s="10">
        <f>_xlfn.RRI(5,N136,R136)</f>
        <v>0.11322470345537217</v>
      </c>
    </row>
    <row r="137" spans="13:19" x14ac:dyDescent="0.25">
      <c r="M137" s="1" t="s">
        <v>99</v>
      </c>
      <c r="N137" s="1">
        <v>307</v>
      </c>
      <c r="O137" s="8">
        <f t="shared" ref="O137:Q137" si="66">N137*(1+$S$135)</f>
        <v>345.29705673462308</v>
      </c>
      <c r="P137" s="8">
        <f t="shared" si="66"/>
        <v>388.37152244167271</v>
      </c>
      <c r="Q137" s="8">
        <f t="shared" si="66"/>
        <v>436.81936032134922</v>
      </c>
      <c r="R137" s="1">
        <v>487</v>
      </c>
      <c r="S137" s="10">
        <f>_xlfn.RRI(5,N137,R137)</f>
        <v>9.6675438927350088E-2</v>
      </c>
    </row>
  </sheetData>
  <mergeCells count="1">
    <mergeCell ref="P49:Q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Nathaniel Littkemann</cp:lastModifiedBy>
  <dcterms:created xsi:type="dcterms:W3CDTF">2015-06-05T18:17:20Z</dcterms:created>
  <dcterms:modified xsi:type="dcterms:W3CDTF">2024-09-29T22:26:02Z</dcterms:modified>
</cp:coreProperties>
</file>