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FE2126A0-3401-4C5A-9DD2-D3894F80B93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</sheets>
  <definedNames>
    <definedName name="_xlchart.v1.0" hidden="1">Model!$Q$58:$Q$63</definedName>
    <definedName name="_xlchart.v1.1" hidden="1">Model!$R$58:$R$63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T27" i="1"/>
  <c r="U27" i="1"/>
  <c r="V27" i="1"/>
  <c r="W27" i="1"/>
  <c r="X27" i="1"/>
  <c r="Y27" i="1"/>
  <c r="Z27" i="1"/>
  <c r="S28" i="1"/>
  <c r="T28" i="1"/>
  <c r="U28" i="1"/>
  <c r="V28" i="1"/>
  <c r="W28" i="1"/>
  <c r="X28" i="1"/>
  <c r="Y28" i="1"/>
  <c r="Z28" i="1"/>
  <c r="T26" i="1"/>
  <c r="U26" i="1"/>
  <c r="V26" i="1"/>
  <c r="W26" i="1"/>
  <c r="X26" i="1"/>
  <c r="Y26" i="1"/>
  <c r="Z26" i="1"/>
  <c r="S26" i="1"/>
  <c r="C115" i="1"/>
  <c r="C112" i="1"/>
  <c r="C113" i="1"/>
  <c r="C111" i="1"/>
  <c r="C110" i="1"/>
  <c r="C108" i="1"/>
  <c r="C102" i="1"/>
  <c r="O100" i="1" s="1"/>
  <c r="C98" i="1"/>
  <c r="C99" i="1"/>
  <c r="C100" i="1"/>
  <c r="C101" i="1"/>
  <c r="B99" i="1"/>
  <c r="B100" i="1"/>
  <c r="B101" i="1"/>
  <c r="B98" i="1"/>
  <c r="D95" i="1"/>
  <c r="E95" i="1" s="1"/>
  <c r="F95" i="1" s="1"/>
  <c r="G95" i="1" s="1"/>
  <c r="H95" i="1" s="1"/>
  <c r="I95" i="1" s="1"/>
  <c r="J95" i="1" s="1"/>
  <c r="K95" i="1" s="1"/>
  <c r="L95" i="1" s="1"/>
  <c r="M95" i="1" s="1"/>
  <c r="F135" i="1"/>
  <c r="E130" i="1"/>
  <c r="F130" i="1" s="1"/>
  <c r="E131" i="1"/>
  <c r="F131" i="1" s="1"/>
  <c r="E132" i="1"/>
  <c r="F132" i="1" s="1"/>
  <c r="D132" i="1"/>
  <c r="D131" i="1"/>
  <c r="D130" i="1"/>
  <c r="D129" i="1"/>
  <c r="D128" i="1"/>
  <c r="D127" i="1"/>
  <c r="G133" i="1"/>
  <c r="C132" i="1"/>
  <c r="C131" i="1"/>
  <c r="C130" i="1"/>
  <c r="C129" i="1"/>
  <c r="E129" i="1" s="1"/>
  <c r="C128" i="1"/>
  <c r="E128" i="1" s="1"/>
  <c r="F128" i="1" s="1"/>
  <c r="C127" i="1"/>
  <c r="E127" i="1" s="1"/>
  <c r="F127" i="1" s="1"/>
  <c r="E28" i="1"/>
  <c r="F28" i="1"/>
  <c r="G28" i="1"/>
  <c r="H28" i="1"/>
  <c r="I28" i="1"/>
  <c r="J28" i="1"/>
  <c r="K28" i="1"/>
  <c r="L28" i="1"/>
  <c r="M28" i="1"/>
  <c r="D28" i="1"/>
  <c r="Q58" i="1" a="1"/>
  <c r="Q58" i="1" s="1"/>
  <c r="S58" i="1" a="1"/>
  <c r="S58" i="1" s="1"/>
  <c r="R58" i="1" s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R37" i="1"/>
  <c r="R38" i="1"/>
  <c r="R39" i="1"/>
  <c r="R40" i="1"/>
  <c r="R41" i="1"/>
  <c r="R42" i="1"/>
  <c r="R43" i="1"/>
  <c r="R44" i="1"/>
  <c r="R45" i="1"/>
  <c r="R48" i="1"/>
  <c r="R49" i="1"/>
  <c r="R50" i="1"/>
  <c r="R51" i="1"/>
  <c r="R52" i="1"/>
  <c r="R53" i="1"/>
  <c r="R54" i="1"/>
  <c r="R55" i="1"/>
  <c r="R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36" i="1"/>
  <c r="AS25" i="1"/>
  <c r="AR25" i="1"/>
  <c r="AQ25" i="1"/>
  <c r="AP25" i="1"/>
  <c r="AT24" i="1"/>
  <c r="AR24" i="1"/>
  <c r="AQ24" i="1"/>
  <c r="AP24" i="1"/>
  <c r="AT23" i="1"/>
  <c r="AS23" i="1"/>
  <c r="AQ23" i="1"/>
  <c r="AP23" i="1"/>
  <c r="AT22" i="1"/>
  <c r="AS22" i="1"/>
  <c r="AR22" i="1"/>
  <c r="AP22" i="1"/>
  <c r="AT21" i="1"/>
  <c r="AS21" i="1"/>
  <c r="AR21" i="1"/>
  <c r="AQ21" i="1"/>
  <c r="AT20" i="1"/>
  <c r="AS20" i="1"/>
  <c r="AR20" i="1"/>
  <c r="AQ20" i="1"/>
  <c r="AP20" i="1"/>
  <c r="AT19" i="1"/>
  <c r="AS19" i="1"/>
  <c r="AR19" i="1"/>
  <c r="AQ19" i="1"/>
  <c r="AP19" i="1"/>
  <c r="AT18" i="1"/>
  <c r="AS18" i="1"/>
  <c r="AR18" i="1"/>
  <c r="AQ18" i="1"/>
  <c r="AP18" i="1"/>
  <c r="AT15" i="1"/>
  <c r="AS15" i="1"/>
  <c r="AR15" i="1"/>
  <c r="AQ15" i="1"/>
  <c r="AP15" i="1"/>
  <c r="AT14" i="1"/>
  <c r="AS14" i="1"/>
  <c r="AR14" i="1"/>
  <c r="AQ14" i="1"/>
  <c r="AP14" i="1"/>
  <c r="AT13" i="1"/>
  <c r="AS13" i="1"/>
  <c r="AR13" i="1"/>
  <c r="AQ13" i="1"/>
  <c r="AP13" i="1"/>
  <c r="AT12" i="1"/>
  <c r="AS12" i="1"/>
  <c r="AR12" i="1"/>
  <c r="AQ12" i="1"/>
  <c r="AP12" i="1"/>
  <c r="AT11" i="1"/>
  <c r="AS11" i="1"/>
  <c r="AR11" i="1"/>
  <c r="AQ11" i="1"/>
  <c r="AP11" i="1"/>
  <c r="AT10" i="1"/>
  <c r="AS10" i="1"/>
  <c r="AR10" i="1"/>
  <c r="AQ10" i="1"/>
  <c r="AP10" i="1"/>
  <c r="AT9" i="1"/>
  <c r="AS9" i="1"/>
  <c r="AR9" i="1"/>
  <c r="AQ9" i="1"/>
  <c r="AP9" i="1"/>
  <c r="AT8" i="1"/>
  <c r="AS8" i="1"/>
  <c r="AR8" i="1"/>
  <c r="AQ8" i="1"/>
  <c r="AP8" i="1"/>
  <c r="AT7" i="1"/>
  <c r="AS7" i="1"/>
  <c r="AR7" i="1"/>
  <c r="AQ7" i="1"/>
  <c r="AP7" i="1"/>
  <c r="AT6" i="1"/>
  <c r="AS6" i="1"/>
  <c r="AR6" i="1"/>
  <c r="AQ6" i="1"/>
  <c r="AP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B8" i="1"/>
  <c r="AD8" i="1"/>
  <c r="AE8" i="1"/>
  <c r="AF8" i="1"/>
  <c r="AG8" i="1"/>
  <c r="AH8" i="1"/>
  <c r="AI8" i="1"/>
  <c r="AJ8" i="1"/>
  <c r="AK8" i="1"/>
  <c r="AL8" i="1"/>
  <c r="AM8" i="1"/>
  <c r="AN8" i="1"/>
  <c r="AO8" i="1"/>
  <c r="AB9" i="1"/>
  <c r="AC9" i="1"/>
  <c r="AE9" i="1"/>
  <c r="AF9" i="1"/>
  <c r="AG9" i="1"/>
  <c r="AH9" i="1"/>
  <c r="AI9" i="1"/>
  <c r="AJ9" i="1"/>
  <c r="AK9" i="1"/>
  <c r="AL9" i="1"/>
  <c r="AM9" i="1"/>
  <c r="AN9" i="1"/>
  <c r="AO9" i="1"/>
  <c r="AB10" i="1"/>
  <c r="AC10" i="1"/>
  <c r="AD10" i="1"/>
  <c r="AF10" i="1"/>
  <c r="AG10" i="1"/>
  <c r="AH10" i="1"/>
  <c r="AI10" i="1"/>
  <c r="AJ10" i="1"/>
  <c r="AK10" i="1"/>
  <c r="AL10" i="1"/>
  <c r="AM10" i="1"/>
  <c r="AN10" i="1"/>
  <c r="AO10" i="1"/>
  <c r="AB11" i="1"/>
  <c r="AC11" i="1"/>
  <c r="AD11" i="1"/>
  <c r="AE11" i="1"/>
  <c r="AG11" i="1"/>
  <c r="AH11" i="1"/>
  <c r="AI11" i="1"/>
  <c r="AJ11" i="1"/>
  <c r="AK11" i="1"/>
  <c r="AL11" i="1"/>
  <c r="AM11" i="1"/>
  <c r="AN11" i="1"/>
  <c r="AO11" i="1"/>
  <c r="AB12" i="1"/>
  <c r="AC12" i="1"/>
  <c r="AD12" i="1"/>
  <c r="AE12" i="1"/>
  <c r="AF12" i="1"/>
  <c r="AH12" i="1"/>
  <c r="AI12" i="1"/>
  <c r="AJ12" i="1"/>
  <c r="AK12" i="1"/>
  <c r="AL12" i="1"/>
  <c r="AM12" i="1"/>
  <c r="AN12" i="1"/>
  <c r="AO12" i="1"/>
  <c r="AB13" i="1"/>
  <c r="AC13" i="1"/>
  <c r="AD13" i="1"/>
  <c r="AE13" i="1"/>
  <c r="AF13" i="1"/>
  <c r="AG13" i="1"/>
  <c r="AI13" i="1"/>
  <c r="AJ13" i="1"/>
  <c r="AK13" i="1"/>
  <c r="AL13" i="1"/>
  <c r="AM13" i="1"/>
  <c r="AN13" i="1"/>
  <c r="AO13" i="1"/>
  <c r="AB14" i="1"/>
  <c r="AC14" i="1"/>
  <c r="AD14" i="1"/>
  <c r="AE14" i="1"/>
  <c r="AF14" i="1"/>
  <c r="AG14" i="1"/>
  <c r="AH14" i="1"/>
  <c r="AJ14" i="1"/>
  <c r="AK14" i="1"/>
  <c r="AL14" i="1"/>
  <c r="AM14" i="1"/>
  <c r="AN14" i="1"/>
  <c r="AO14" i="1"/>
  <c r="AB15" i="1"/>
  <c r="AC15" i="1"/>
  <c r="AD15" i="1"/>
  <c r="AE15" i="1"/>
  <c r="AF15" i="1"/>
  <c r="AG15" i="1"/>
  <c r="AH15" i="1"/>
  <c r="AI15" i="1"/>
  <c r="AK15" i="1"/>
  <c r="AL15" i="1"/>
  <c r="AM15" i="1"/>
  <c r="AN15" i="1"/>
  <c r="AO15" i="1"/>
  <c r="AG16" i="1"/>
  <c r="AH16" i="1"/>
  <c r="AB18" i="1"/>
  <c r="AC18" i="1"/>
  <c r="AD18" i="1"/>
  <c r="AE18" i="1"/>
  <c r="AF18" i="1"/>
  <c r="AG18" i="1"/>
  <c r="AH18" i="1"/>
  <c r="AI18" i="1"/>
  <c r="AJ18" i="1"/>
  <c r="AK18" i="1"/>
  <c r="AL18" i="1"/>
  <c r="AN18" i="1"/>
  <c r="AO18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O19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A7" i="1"/>
  <c r="AA8" i="1"/>
  <c r="AA9" i="1"/>
  <c r="AA10" i="1"/>
  <c r="AA11" i="1"/>
  <c r="AA12" i="1"/>
  <c r="AA13" i="1"/>
  <c r="AA14" i="1"/>
  <c r="AA15" i="1"/>
  <c r="AA18" i="1"/>
  <c r="AA19" i="1"/>
  <c r="AA20" i="1"/>
  <c r="AA21" i="1"/>
  <c r="AA22" i="1"/>
  <c r="AA23" i="1"/>
  <c r="AA24" i="1"/>
  <c r="AA25" i="1"/>
  <c r="T30" i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R25" i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Z15" i="1"/>
  <c r="Y15" i="1"/>
  <c r="X11" i="1"/>
  <c r="Y11" i="1"/>
  <c r="Z11" i="1"/>
  <c r="X12" i="1"/>
  <c r="Y12" i="1"/>
  <c r="Z12" i="1"/>
  <c r="X13" i="1"/>
  <c r="Y13" i="1"/>
  <c r="Z13" i="1"/>
  <c r="Y14" i="1"/>
  <c r="Z14" i="1"/>
  <c r="Y10" i="1"/>
  <c r="Z10" i="1"/>
  <c r="X10" i="1"/>
  <c r="X6" i="1"/>
  <c r="Y6" i="1"/>
  <c r="Z6" i="1"/>
  <c r="X7" i="1"/>
  <c r="Y7" i="1"/>
  <c r="Z7" i="1"/>
  <c r="X8" i="1"/>
  <c r="Y8" i="1"/>
  <c r="Z8" i="1"/>
  <c r="X9" i="1"/>
  <c r="Y9" i="1"/>
  <c r="Z9" i="1"/>
  <c r="W7" i="1"/>
  <c r="W8" i="1"/>
  <c r="W9" i="1"/>
  <c r="W6" i="1"/>
  <c r="U7" i="1"/>
  <c r="U8" i="1"/>
  <c r="U9" i="1"/>
  <c r="U6" i="1"/>
  <c r="T7" i="1"/>
  <c r="T8" i="1"/>
  <c r="T6" i="1"/>
  <c r="F54" i="1"/>
  <c r="G54" i="1" s="1"/>
  <c r="H54" i="1" s="1"/>
  <c r="I54" i="1" s="1"/>
  <c r="J54" i="1" s="1"/>
  <c r="K54" i="1" s="1"/>
  <c r="L54" i="1" s="1"/>
  <c r="M54" i="1" s="1"/>
  <c r="M52" i="1"/>
  <c r="R18" i="1"/>
  <c r="R19" i="1"/>
  <c r="R20" i="1"/>
  <c r="M59" i="1" s="1"/>
  <c r="C63" i="1"/>
  <c r="R22" i="1"/>
  <c r="E85" i="1" s="1"/>
  <c r="E91" i="1" s="1"/>
  <c r="E86" i="1"/>
  <c r="C42" i="1"/>
  <c r="R11" i="1"/>
  <c r="M22" i="1" s="1"/>
  <c r="M106" i="1" s="1"/>
  <c r="R12" i="1"/>
  <c r="M24" i="1" s="1"/>
  <c r="M107" i="1" s="1"/>
  <c r="R13" i="1"/>
  <c r="M26" i="1" s="1"/>
  <c r="M108" i="1" s="1"/>
  <c r="R14" i="1"/>
  <c r="R15" i="1"/>
  <c r="R21" i="1"/>
  <c r="E93" i="1" s="1"/>
  <c r="R23" i="1"/>
  <c r="R24" i="1"/>
  <c r="Z24" i="1" s="1"/>
  <c r="C26" i="1"/>
  <c r="V13" i="1" s="1"/>
  <c r="C24" i="1"/>
  <c r="V12" i="1" s="1"/>
  <c r="C22" i="1"/>
  <c r="V11" i="1" s="1"/>
  <c r="C20" i="1"/>
  <c r="V10" i="1" s="1"/>
  <c r="C27" i="1"/>
  <c r="R10" i="1"/>
  <c r="M20" i="1" s="1"/>
  <c r="M105" i="1" s="1"/>
  <c r="R9" i="1"/>
  <c r="D14" i="1" s="1"/>
  <c r="D101" i="1" s="1"/>
  <c r="R8" i="1"/>
  <c r="D12" i="1" s="1"/>
  <c r="D11" i="1" s="1"/>
  <c r="D100" i="1" s="1"/>
  <c r="R7" i="1"/>
  <c r="D10" i="1" s="1"/>
  <c r="D9" i="1" s="1"/>
  <c r="D99" i="1" s="1"/>
  <c r="R6" i="1"/>
  <c r="D8" i="1" s="1"/>
  <c r="D7" i="1" s="1"/>
  <c r="D98" i="1" s="1"/>
  <c r="C15" i="1"/>
  <c r="S16" i="1" s="1"/>
  <c r="R16" i="1" s="1"/>
  <c r="D4" i="1"/>
  <c r="E4" i="1" s="1"/>
  <c r="F4" i="1" s="1"/>
  <c r="G4" i="1" s="1"/>
  <c r="H4" i="1" s="1"/>
  <c r="I4" i="1" s="1"/>
  <c r="J4" i="1" s="1"/>
  <c r="K4" i="1" s="1"/>
  <c r="L4" i="1" s="1"/>
  <c r="M4" i="1" s="1"/>
  <c r="O101" i="1" l="1"/>
  <c r="O99" i="1"/>
  <c r="C105" i="1"/>
  <c r="C107" i="1"/>
  <c r="AI16" i="1"/>
  <c r="R46" i="1"/>
  <c r="C133" i="1"/>
  <c r="C106" i="1"/>
  <c r="D102" i="1"/>
  <c r="O98" i="1"/>
  <c r="AC16" i="1"/>
  <c r="AQ16" i="1"/>
  <c r="V16" i="1"/>
  <c r="AD16" i="1"/>
  <c r="AP16" i="1"/>
  <c r="AM16" i="1"/>
  <c r="AB16" i="1"/>
  <c r="AR16" i="1"/>
  <c r="AA16" i="1"/>
  <c r="AL16" i="1"/>
  <c r="AS16" i="1"/>
  <c r="AJ16" i="1"/>
  <c r="AT16" i="1"/>
  <c r="E133" i="1"/>
  <c r="F129" i="1"/>
  <c r="F133" i="1" s="1"/>
  <c r="AO16" i="1"/>
  <c r="AF16" i="1"/>
  <c r="U17" i="1"/>
  <c r="AN16" i="1"/>
  <c r="AE16" i="1"/>
  <c r="D133" i="1"/>
  <c r="R63" i="1"/>
  <c r="R62" i="1"/>
  <c r="R61" i="1"/>
  <c r="R60" i="1"/>
  <c r="R59" i="1"/>
  <c r="T36" i="1" a="1"/>
  <c r="T17" i="1"/>
  <c r="T16" i="1"/>
  <c r="U16" i="1"/>
  <c r="W17" i="1"/>
  <c r="X17" i="1"/>
  <c r="W16" i="1"/>
  <c r="X16" i="1"/>
  <c r="V17" i="1"/>
  <c r="Y16" i="1"/>
  <c r="Z16" i="1" s="1"/>
  <c r="C54" i="1"/>
  <c r="D54" i="1" s="1"/>
  <c r="E54" i="1" s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C59" i="1"/>
  <c r="D59" i="1" s="1"/>
  <c r="E59" i="1" s="1"/>
  <c r="F59" i="1" s="1"/>
  <c r="G59" i="1" s="1"/>
  <c r="H59" i="1" s="1"/>
  <c r="I59" i="1" s="1"/>
  <c r="J59" i="1" s="1"/>
  <c r="K59" i="1" s="1"/>
  <c r="L59" i="1" s="1"/>
  <c r="C52" i="1"/>
  <c r="D52" i="1" s="1"/>
  <c r="E52" i="1" s="1"/>
  <c r="F52" i="1" s="1"/>
  <c r="G52" i="1" s="1"/>
  <c r="H52" i="1" s="1"/>
  <c r="I52" i="1" s="1"/>
  <c r="J52" i="1" s="1"/>
  <c r="K52" i="1" s="1"/>
  <c r="L52" i="1" s="1"/>
  <c r="E92" i="1"/>
  <c r="S17" i="1"/>
  <c r="D26" i="1"/>
  <c r="D108" i="1" s="1"/>
  <c r="D24" i="1"/>
  <c r="D107" i="1" s="1"/>
  <c r="C28" i="1"/>
  <c r="D22" i="1"/>
  <c r="D106" i="1" s="1"/>
  <c r="D20" i="1"/>
  <c r="D105" i="1" s="1"/>
  <c r="F12" i="1"/>
  <c r="E12" i="1"/>
  <c r="E11" i="1" s="1"/>
  <c r="E100" i="1" s="1"/>
  <c r="G10" i="1"/>
  <c r="I10" i="1"/>
  <c r="M14" i="1"/>
  <c r="L14" i="1"/>
  <c r="H10" i="1"/>
  <c r="E14" i="1"/>
  <c r="K8" i="1"/>
  <c r="K14" i="1"/>
  <c r="M12" i="1"/>
  <c r="J8" i="1"/>
  <c r="G12" i="1"/>
  <c r="I8" i="1"/>
  <c r="J14" i="1"/>
  <c r="L12" i="1"/>
  <c r="F10" i="1"/>
  <c r="H8" i="1"/>
  <c r="I14" i="1"/>
  <c r="K12" i="1"/>
  <c r="M10" i="1"/>
  <c r="E10" i="1"/>
  <c r="E9" i="1" s="1"/>
  <c r="E99" i="1" s="1"/>
  <c r="G8" i="1"/>
  <c r="H14" i="1"/>
  <c r="J12" i="1"/>
  <c r="L10" i="1"/>
  <c r="F8" i="1"/>
  <c r="G14" i="1"/>
  <c r="I12" i="1"/>
  <c r="K10" i="1"/>
  <c r="M8" i="1"/>
  <c r="E8" i="1"/>
  <c r="E7" i="1" s="1"/>
  <c r="E98" i="1" s="1"/>
  <c r="F14" i="1"/>
  <c r="H12" i="1"/>
  <c r="J10" i="1"/>
  <c r="L8" i="1"/>
  <c r="D15" i="1"/>
  <c r="D33" i="1" s="1"/>
  <c r="D110" i="1" s="1"/>
  <c r="E101" i="1" l="1"/>
  <c r="E102" i="1" s="1"/>
  <c r="AR17" i="1"/>
  <c r="AH17" i="1"/>
  <c r="AP17" i="1"/>
  <c r="AJ17" i="1"/>
  <c r="R47" i="1"/>
  <c r="AC17" i="1"/>
  <c r="AK17" i="1"/>
  <c r="AM17" i="1"/>
  <c r="AN17" i="1"/>
  <c r="AT17" i="1"/>
  <c r="AF17" i="1"/>
  <c r="AA17" i="1"/>
  <c r="AG17" i="1"/>
  <c r="AQ17" i="1"/>
  <c r="AI17" i="1"/>
  <c r="AB17" i="1"/>
  <c r="AD17" i="1"/>
  <c r="AE17" i="1"/>
  <c r="AO17" i="1"/>
  <c r="AS17" i="1"/>
  <c r="V14" i="1"/>
  <c r="W14" i="1"/>
  <c r="X14" i="1"/>
  <c r="U37" i="1"/>
  <c r="U53" i="1"/>
  <c r="U41" i="1"/>
  <c r="U49" i="1"/>
  <c r="U42" i="1"/>
  <c r="U43" i="1"/>
  <c r="U51" i="1"/>
  <c r="U47" i="1"/>
  <c r="U50" i="1"/>
  <c r="U48" i="1"/>
  <c r="U44" i="1"/>
  <c r="U52" i="1"/>
  <c r="U45" i="1"/>
  <c r="U38" i="1"/>
  <c r="U46" i="1"/>
  <c r="U54" i="1"/>
  <c r="U39" i="1"/>
  <c r="U55" i="1"/>
  <c r="U40" i="1"/>
  <c r="T36" i="1"/>
  <c r="U36" i="1" s="1"/>
  <c r="R17" i="1"/>
  <c r="Y17" i="1"/>
  <c r="Z17" i="1" s="1"/>
  <c r="C29" i="1"/>
  <c r="C30" i="1" s="1"/>
  <c r="E20" i="1"/>
  <c r="W10" i="1"/>
  <c r="E22" i="1"/>
  <c r="W11" i="1"/>
  <c r="E26" i="1"/>
  <c r="W13" i="1"/>
  <c r="E24" i="1"/>
  <c r="W12" i="1"/>
  <c r="D58" i="1"/>
  <c r="D55" i="1"/>
  <c r="D60" i="1"/>
  <c r="D53" i="1"/>
  <c r="D51" i="1"/>
  <c r="D21" i="1"/>
  <c r="D23" i="1"/>
  <c r="D25" i="1"/>
  <c r="D19" i="1"/>
  <c r="D34" i="1"/>
  <c r="F11" i="1"/>
  <c r="F100" i="1" s="1"/>
  <c r="F9" i="1"/>
  <c r="F99" i="1" s="1"/>
  <c r="F7" i="1"/>
  <c r="F98" i="1" s="1"/>
  <c r="E15" i="1"/>
  <c r="D16" i="1"/>
  <c r="F101" i="1" l="1"/>
  <c r="F102" i="1" s="1"/>
  <c r="F20" i="1"/>
  <c r="F19" i="1" s="1"/>
  <c r="E105" i="1"/>
  <c r="F22" i="1"/>
  <c r="F21" i="1" s="1"/>
  <c r="E106" i="1"/>
  <c r="F24" i="1"/>
  <c r="F23" i="1" s="1"/>
  <c r="E107" i="1"/>
  <c r="F26" i="1"/>
  <c r="E108" i="1"/>
  <c r="C35" i="1"/>
  <c r="C40" i="1" s="1"/>
  <c r="C41" i="1" s="1"/>
  <c r="E55" i="1"/>
  <c r="E33" i="1"/>
  <c r="E110" i="1" s="1"/>
  <c r="E19" i="1"/>
  <c r="E21" i="1"/>
  <c r="E23" i="1"/>
  <c r="E25" i="1"/>
  <c r="E51" i="1"/>
  <c r="E53" i="1"/>
  <c r="D63" i="1"/>
  <c r="D43" i="1" s="1"/>
  <c r="E58" i="1"/>
  <c r="E60" i="1"/>
  <c r="D27" i="1"/>
  <c r="D29" i="1" s="1"/>
  <c r="E34" i="1"/>
  <c r="D42" i="1"/>
  <c r="E16" i="1"/>
  <c r="E27" i="1"/>
  <c r="G11" i="1"/>
  <c r="G100" i="1" s="1"/>
  <c r="G9" i="1"/>
  <c r="G99" i="1" s="1"/>
  <c r="G7" i="1"/>
  <c r="F15" i="1"/>
  <c r="G101" i="1" l="1"/>
  <c r="G24" i="1"/>
  <c r="G23" i="1" s="1"/>
  <c r="F107" i="1"/>
  <c r="G22" i="1"/>
  <c r="F106" i="1"/>
  <c r="G26" i="1"/>
  <c r="G25" i="1" s="1"/>
  <c r="F108" i="1"/>
  <c r="F25" i="1"/>
  <c r="G20" i="1"/>
  <c r="F105" i="1"/>
  <c r="G98" i="1"/>
  <c r="C36" i="1"/>
  <c r="F55" i="1"/>
  <c r="F33" i="1"/>
  <c r="F110" i="1" s="1"/>
  <c r="D30" i="1"/>
  <c r="D35" i="1"/>
  <c r="E29" i="1"/>
  <c r="E42" i="1"/>
  <c r="F51" i="1"/>
  <c r="F53" i="1"/>
  <c r="E63" i="1"/>
  <c r="E43" i="1" s="1"/>
  <c r="F58" i="1"/>
  <c r="F60" i="1"/>
  <c r="D31" i="1"/>
  <c r="C44" i="1"/>
  <c r="C45" i="1" s="1"/>
  <c r="C85" i="1"/>
  <c r="C93" i="1" s="1"/>
  <c r="C116" i="1" s="1"/>
  <c r="F34" i="1"/>
  <c r="F16" i="1"/>
  <c r="F27" i="1"/>
  <c r="H11" i="1"/>
  <c r="H100" i="1" s="1"/>
  <c r="H9" i="1"/>
  <c r="H99" i="1" s="1"/>
  <c r="G15" i="1"/>
  <c r="H7" i="1"/>
  <c r="G102" i="1" l="1"/>
  <c r="H101" i="1"/>
  <c r="D37" i="1"/>
  <c r="D113" i="1" s="1"/>
  <c r="D111" i="1"/>
  <c r="H20" i="1"/>
  <c r="H19" i="1" s="1"/>
  <c r="G105" i="1"/>
  <c r="H26" i="1"/>
  <c r="H25" i="1" s="1"/>
  <c r="G108" i="1"/>
  <c r="F29" i="1"/>
  <c r="F30" i="1" s="1"/>
  <c r="H22" i="1"/>
  <c r="H21" i="1" s="1"/>
  <c r="G106" i="1"/>
  <c r="G21" i="1"/>
  <c r="G19" i="1"/>
  <c r="H24" i="1"/>
  <c r="H23" i="1" s="1"/>
  <c r="G107" i="1"/>
  <c r="H98" i="1"/>
  <c r="H102" i="1" s="1"/>
  <c r="G55" i="1"/>
  <c r="G33" i="1"/>
  <c r="G110" i="1" s="1"/>
  <c r="E30" i="1"/>
  <c r="E35" i="1"/>
  <c r="E31" i="1"/>
  <c r="F42" i="1"/>
  <c r="D93" i="1"/>
  <c r="C68" i="1"/>
  <c r="C71" i="1" s="1"/>
  <c r="G51" i="1"/>
  <c r="G53" i="1"/>
  <c r="F63" i="1"/>
  <c r="F43" i="1" s="1"/>
  <c r="G58" i="1"/>
  <c r="G60" i="1"/>
  <c r="D40" i="1"/>
  <c r="D36" i="1"/>
  <c r="D112" i="1" s="1"/>
  <c r="C87" i="1"/>
  <c r="D85" i="1"/>
  <c r="L85" i="1" s="1"/>
  <c r="G34" i="1"/>
  <c r="G16" i="1"/>
  <c r="G27" i="1"/>
  <c r="I11" i="1"/>
  <c r="I100" i="1" s="1"/>
  <c r="I9" i="1"/>
  <c r="I99" i="1" s="1"/>
  <c r="H15" i="1"/>
  <c r="I7" i="1"/>
  <c r="I101" i="1" l="1"/>
  <c r="E36" i="1"/>
  <c r="E112" i="1" s="1"/>
  <c r="E111" i="1"/>
  <c r="G29" i="1"/>
  <c r="G30" i="1" s="1"/>
  <c r="F31" i="1"/>
  <c r="F35" i="1"/>
  <c r="I22" i="1"/>
  <c r="I21" i="1" s="1"/>
  <c r="H106" i="1"/>
  <c r="I26" i="1"/>
  <c r="I25" i="1" s="1"/>
  <c r="H108" i="1"/>
  <c r="I24" i="1"/>
  <c r="H107" i="1"/>
  <c r="I20" i="1"/>
  <c r="H105" i="1"/>
  <c r="I98" i="1"/>
  <c r="H55" i="1"/>
  <c r="H33" i="1"/>
  <c r="H110" i="1" s="1"/>
  <c r="E40" i="1"/>
  <c r="E41" i="1" s="1"/>
  <c r="E44" i="1" s="1"/>
  <c r="E115" i="1" s="1"/>
  <c r="E116" i="1" s="1"/>
  <c r="E37" i="1"/>
  <c r="E113" i="1" s="1"/>
  <c r="D41" i="1"/>
  <c r="D44" i="1" s="1"/>
  <c r="G42" i="1"/>
  <c r="H51" i="1"/>
  <c r="H53" i="1"/>
  <c r="G63" i="1"/>
  <c r="G43" i="1" s="1"/>
  <c r="H58" i="1"/>
  <c r="H60" i="1"/>
  <c r="D87" i="1"/>
  <c r="E87" i="1" s="1"/>
  <c r="C91" i="1"/>
  <c r="H34" i="1"/>
  <c r="H16" i="1"/>
  <c r="H27" i="1"/>
  <c r="H29" i="1" s="1"/>
  <c r="J11" i="1"/>
  <c r="J100" i="1" s="1"/>
  <c r="J9" i="1"/>
  <c r="J99" i="1" s="1"/>
  <c r="J7" i="1"/>
  <c r="I15" i="1"/>
  <c r="I102" i="1" l="1"/>
  <c r="J101" i="1"/>
  <c r="D69" i="1"/>
  <c r="D71" i="1" s="1"/>
  <c r="D115" i="1"/>
  <c r="F37" i="1"/>
  <c r="F113" i="1" s="1"/>
  <c r="F111" i="1"/>
  <c r="F40" i="1"/>
  <c r="F41" i="1" s="1"/>
  <c r="F44" i="1" s="1"/>
  <c r="F115" i="1" s="1"/>
  <c r="F116" i="1" s="1"/>
  <c r="F36" i="1"/>
  <c r="F112" i="1" s="1"/>
  <c r="G31" i="1"/>
  <c r="G35" i="1"/>
  <c r="J24" i="1"/>
  <c r="J23" i="1" s="1"/>
  <c r="I107" i="1"/>
  <c r="I23" i="1"/>
  <c r="J26" i="1"/>
  <c r="J25" i="1" s="1"/>
  <c r="I108" i="1"/>
  <c r="J20" i="1"/>
  <c r="J19" i="1" s="1"/>
  <c r="I105" i="1"/>
  <c r="I19" i="1"/>
  <c r="J22" i="1"/>
  <c r="J21" i="1" s="1"/>
  <c r="I106" i="1"/>
  <c r="J98" i="1"/>
  <c r="J102" i="1" s="1"/>
  <c r="I55" i="1"/>
  <c r="I33" i="1"/>
  <c r="I110" i="1" s="1"/>
  <c r="H35" i="1"/>
  <c r="E69" i="1"/>
  <c r="E45" i="1"/>
  <c r="E47" i="1"/>
  <c r="H42" i="1"/>
  <c r="D47" i="1"/>
  <c r="D45" i="1"/>
  <c r="I51" i="1"/>
  <c r="I53" i="1"/>
  <c r="H63" i="1"/>
  <c r="H43" i="1" s="1"/>
  <c r="I58" i="1"/>
  <c r="I60" i="1"/>
  <c r="C92" i="1"/>
  <c r="D91" i="1"/>
  <c r="I34" i="1"/>
  <c r="H30" i="1"/>
  <c r="H31" i="1"/>
  <c r="I16" i="1"/>
  <c r="I27" i="1"/>
  <c r="K11" i="1"/>
  <c r="K100" i="1" s="1"/>
  <c r="K9" i="1"/>
  <c r="K99" i="1" s="1"/>
  <c r="J15" i="1"/>
  <c r="K7" i="1"/>
  <c r="K101" i="1" l="1"/>
  <c r="D116" i="1"/>
  <c r="D74" i="1"/>
  <c r="D76" i="1" s="1"/>
  <c r="G36" i="1"/>
  <c r="G112" i="1" s="1"/>
  <c r="G111" i="1"/>
  <c r="H40" i="1"/>
  <c r="H41" i="1" s="1"/>
  <c r="H44" i="1" s="1"/>
  <c r="H111" i="1"/>
  <c r="G37" i="1"/>
  <c r="G113" i="1" s="1"/>
  <c r="G40" i="1"/>
  <c r="G41" i="1" s="1"/>
  <c r="G44" i="1" s="1"/>
  <c r="G115" i="1" s="1"/>
  <c r="G116" i="1" s="1"/>
  <c r="I29" i="1"/>
  <c r="I31" i="1" s="1"/>
  <c r="K20" i="1"/>
  <c r="K19" i="1" s="1"/>
  <c r="J105" i="1"/>
  <c r="K26" i="1"/>
  <c r="K25" i="1" s="1"/>
  <c r="J108" i="1"/>
  <c r="K22" i="1"/>
  <c r="J106" i="1"/>
  <c r="K24" i="1"/>
  <c r="K23" i="1" s="1"/>
  <c r="J107" i="1"/>
  <c r="K98" i="1"/>
  <c r="J55" i="1"/>
  <c r="J33" i="1"/>
  <c r="J110" i="1" s="1"/>
  <c r="E71" i="1"/>
  <c r="E74" i="1"/>
  <c r="E76" i="1" s="1"/>
  <c r="D92" i="1"/>
  <c r="C73" i="1"/>
  <c r="C76" i="1" s="1"/>
  <c r="F69" i="1"/>
  <c r="F45" i="1"/>
  <c r="F47" i="1"/>
  <c r="I42" i="1"/>
  <c r="I63" i="1"/>
  <c r="I43" i="1" s="1"/>
  <c r="J51" i="1"/>
  <c r="J53" i="1"/>
  <c r="J58" i="1"/>
  <c r="J60" i="1"/>
  <c r="H37" i="1"/>
  <c r="H113" i="1" s="1"/>
  <c r="H36" i="1"/>
  <c r="H112" i="1" s="1"/>
  <c r="J34" i="1"/>
  <c r="J16" i="1"/>
  <c r="J27" i="1"/>
  <c r="J29" i="1" s="1"/>
  <c r="L11" i="1"/>
  <c r="L100" i="1" s="1"/>
  <c r="L9" i="1"/>
  <c r="L99" i="1" s="1"/>
  <c r="L7" i="1"/>
  <c r="K15" i="1"/>
  <c r="K102" i="1" l="1"/>
  <c r="L101" i="1"/>
  <c r="H69" i="1"/>
  <c r="H71" i="1" s="1"/>
  <c r="H115" i="1"/>
  <c r="H116" i="1" s="1"/>
  <c r="I30" i="1"/>
  <c r="I35" i="1"/>
  <c r="L22" i="1"/>
  <c r="L106" i="1" s="1"/>
  <c r="K106" i="1"/>
  <c r="L26" i="1"/>
  <c r="L108" i="1" s="1"/>
  <c r="K108" i="1"/>
  <c r="L20" i="1"/>
  <c r="L105" i="1" s="1"/>
  <c r="K105" i="1"/>
  <c r="L24" i="1"/>
  <c r="L107" i="1" s="1"/>
  <c r="K107" i="1"/>
  <c r="K21" i="1"/>
  <c r="L98" i="1"/>
  <c r="K55" i="1"/>
  <c r="K33" i="1"/>
  <c r="K110" i="1" s="1"/>
  <c r="J35" i="1"/>
  <c r="F71" i="1"/>
  <c r="F74" i="1"/>
  <c r="F76" i="1" s="1"/>
  <c r="G69" i="1"/>
  <c r="G45" i="1"/>
  <c r="G47" i="1"/>
  <c r="J42" i="1"/>
  <c r="J63" i="1"/>
  <c r="J43" i="1" s="1"/>
  <c r="K51" i="1"/>
  <c r="K53" i="1"/>
  <c r="K58" i="1"/>
  <c r="K60" i="1"/>
  <c r="H45" i="1"/>
  <c r="H47" i="1"/>
  <c r="K34" i="1"/>
  <c r="J30" i="1"/>
  <c r="J31" i="1"/>
  <c r="K16" i="1"/>
  <c r="K27" i="1"/>
  <c r="M25" i="1"/>
  <c r="M11" i="1"/>
  <c r="M100" i="1" s="1"/>
  <c r="N100" i="1" s="1"/>
  <c r="M9" i="1"/>
  <c r="M7" i="1"/>
  <c r="L15" i="1"/>
  <c r="M98" i="1" l="1"/>
  <c r="N98" i="1" s="1"/>
  <c r="N7" i="1"/>
  <c r="M99" i="1"/>
  <c r="N99" i="1" s="1"/>
  <c r="N9" i="1"/>
  <c r="L102" i="1"/>
  <c r="M101" i="1"/>
  <c r="L25" i="1"/>
  <c r="K29" i="1"/>
  <c r="K31" i="1" s="1"/>
  <c r="H74" i="1"/>
  <c r="H76" i="1" s="1"/>
  <c r="I36" i="1"/>
  <c r="I112" i="1" s="1"/>
  <c r="I111" i="1"/>
  <c r="J36" i="1"/>
  <c r="J112" i="1" s="1"/>
  <c r="J111" i="1"/>
  <c r="L21" i="1"/>
  <c r="L23" i="1"/>
  <c r="I37" i="1"/>
  <c r="I113" i="1" s="1"/>
  <c r="I40" i="1"/>
  <c r="I41" i="1" s="1"/>
  <c r="I44" i="1" s="1"/>
  <c r="I115" i="1" s="1"/>
  <c r="I116" i="1" s="1"/>
  <c r="L19" i="1"/>
  <c r="M23" i="1"/>
  <c r="N11" i="1"/>
  <c r="M21" i="1"/>
  <c r="L55" i="1"/>
  <c r="L33" i="1"/>
  <c r="L110" i="1" s="1"/>
  <c r="G71" i="1"/>
  <c r="G74" i="1"/>
  <c r="G76" i="1" s="1"/>
  <c r="K42" i="1"/>
  <c r="L51" i="1"/>
  <c r="L53" i="1"/>
  <c r="K63" i="1"/>
  <c r="K43" i="1" s="1"/>
  <c r="L58" i="1"/>
  <c r="L60" i="1"/>
  <c r="J40" i="1"/>
  <c r="J37" i="1"/>
  <c r="J113" i="1" s="1"/>
  <c r="L34" i="1"/>
  <c r="L16" i="1"/>
  <c r="L27" i="1"/>
  <c r="M15" i="1"/>
  <c r="N15" i="1" s="1"/>
  <c r="M19" i="1"/>
  <c r="M102" i="1" l="1"/>
  <c r="N102" i="1" s="1"/>
  <c r="K30" i="1"/>
  <c r="K35" i="1"/>
  <c r="K37" i="1" s="1"/>
  <c r="K113" i="1" s="1"/>
  <c r="L29" i="1"/>
  <c r="L30" i="1" s="1"/>
  <c r="M55" i="1"/>
  <c r="M33" i="1"/>
  <c r="M110" i="1" s="1"/>
  <c r="N110" i="1" s="1"/>
  <c r="I69" i="1"/>
  <c r="I45" i="1"/>
  <c r="I47" i="1"/>
  <c r="L42" i="1"/>
  <c r="J41" i="1"/>
  <c r="J44" i="1" s="1"/>
  <c r="J115" i="1" s="1"/>
  <c r="J116" i="1" s="1"/>
  <c r="M51" i="1"/>
  <c r="M53" i="1"/>
  <c r="L63" i="1"/>
  <c r="L43" i="1" s="1"/>
  <c r="M58" i="1"/>
  <c r="M60" i="1"/>
  <c r="M34" i="1"/>
  <c r="M16" i="1"/>
  <c r="M27" i="1"/>
  <c r="M29" i="1" s="1"/>
  <c r="K40" i="1" l="1"/>
  <c r="K41" i="1" s="1"/>
  <c r="K44" i="1" s="1"/>
  <c r="K115" i="1" s="1"/>
  <c r="K116" i="1" s="1"/>
  <c r="K111" i="1"/>
  <c r="K36" i="1"/>
  <c r="K112" i="1" s="1"/>
  <c r="L35" i="1"/>
  <c r="L31" i="1"/>
  <c r="M35" i="1"/>
  <c r="I71" i="1"/>
  <c r="I74" i="1"/>
  <c r="I76" i="1" s="1"/>
  <c r="J69" i="1"/>
  <c r="J45" i="1"/>
  <c r="J47" i="1"/>
  <c r="M42" i="1"/>
  <c r="M63" i="1"/>
  <c r="M43" i="1" s="1"/>
  <c r="M30" i="1"/>
  <c r="M31" i="1"/>
  <c r="M40" i="1" l="1"/>
  <c r="M70" i="1" s="1"/>
  <c r="M75" i="1" s="1"/>
  <c r="M111" i="1"/>
  <c r="N111" i="1" s="1"/>
  <c r="L40" i="1"/>
  <c r="L41" i="1" s="1"/>
  <c r="L44" i="1" s="1"/>
  <c r="L111" i="1"/>
  <c r="L37" i="1"/>
  <c r="L113" i="1" s="1"/>
  <c r="L36" i="1"/>
  <c r="L112" i="1" s="1"/>
  <c r="J71" i="1"/>
  <c r="J74" i="1"/>
  <c r="J76" i="1" s="1"/>
  <c r="K69" i="1"/>
  <c r="K45" i="1"/>
  <c r="K47" i="1"/>
  <c r="M36" i="1"/>
  <c r="M112" i="1" s="1"/>
  <c r="M37" i="1"/>
  <c r="M113" i="1" s="1"/>
  <c r="L69" i="1" l="1"/>
  <c r="L71" i="1" s="1"/>
  <c r="L115" i="1"/>
  <c r="L116" i="1" s="1"/>
  <c r="M41" i="1"/>
  <c r="M44" i="1" s="1"/>
  <c r="M45" i="1" s="1"/>
  <c r="L47" i="1"/>
  <c r="L45" i="1"/>
  <c r="K71" i="1"/>
  <c r="K74" i="1"/>
  <c r="K76" i="1" s="1"/>
  <c r="R5" i="1"/>
  <c r="L74" i="1" l="1"/>
  <c r="L76" i="1" s="1"/>
  <c r="M69" i="1"/>
  <c r="M115" i="1"/>
  <c r="M47" i="1"/>
  <c r="M116" i="1" l="1"/>
  <c r="N115" i="1"/>
  <c r="M71" i="1"/>
  <c r="M74" i="1"/>
  <c r="M76" i="1" s="1"/>
  <c r="C79" i="1" s="1"/>
  <c r="R28" i="1" s="1"/>
  <c r="R33" i="1" s="1"/>
  <c r="C78" i="1" l="1"/>
  <c r="R27" i="1" s="1"/>
  <c r="R32" i="1" s="1"/>
  <c r="C81" i="1"/>
  <c r="R26" i="1" s="1"/>
  <c r="R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<sst xmlns="http://schemas.openxmlformats.org/spreadsheetml/2006/main" count="162" uniqueCount="105">
  <si>
    <t>x</t>
  </si>
  <si>
    <t>Financials</t>
  </si>
  <si>
    <t>Year</t>
  </si>
  <si>
    <t>Revenue:</t>
  </si>
  <si>
    <t>Mens Athletics</t>
  </si>
  <si>
    <t>Growth %</t>
  </si>
  <si>
    <t>Mens Casual</t>
  </si>
  <si>
    <t>Women Athletic</t>
  </si>
  <si>
    <t>Womens Casual</t>
  </si>
  <si>
    <t>Total Revenue</t>
  </si>
  <si>
    <t>Assumptions</t>
  </si>
  <si>
    <t>Case</t>
  </si>
  <si>
    <t>Item</t>
  </si>
  <si>
    <t>Base</t>
  </si>
  <si>
    <t>Operating Income</t>
  </si>
  <si>
    <t>Margin %</t>
  </si>
  <si>
    <t>Women Athletic Margin %</t>
  </si>
  <si>
    <t>Total Operating Income</t>
  </si>
  <si>
    <t>Unallocated Corporate</t>
  </si>
  <si>
    <t>% of Revenue</t>
  </si>
  <si>
    <t>Synergies</t>
  </si>
  <si>
    <t>D&amp;A</t>
  </si>
  <si>
    <t>EBITDA</t>
  </si>
  <si>
    <t>Capex</t>
  </si>
  <si>
    <t>Entry Multiple</t>
  </si>
  <si>
    <t>Debt / EBITDA</t>
  </si>
  <si>
    <t>Interest Rate %</t>
  </si>
  <si>
    <t>Exit Multiple</t>
  </si>
  <si>
    <t>Cash Flow</t>
  </si>
  <si>
    <t>(-) Unlevered Taxes</t>
  </si>
  <si>
    <t>(-) Capex</t>
  </si>
  <si>
    <t>(-) NWC</t>
  </si>
  <si>
    <t>UFCF</t>
  </si>
  <si>
    <t>Yield</t>
  </si>
  <si>
    <t>Yield %</t>
  </si>
  <si>
    <t>Conversion %</t>
  </si>
  <si>
    <t>Mercury</t>
  </si>
  <si>
    <t>Active Gear</t>
  </si>
  <si>
    <t>Debt</t>
  </si>
  <si>
    <t>x/EBITDA</t>
  </si>
  <si>
    <t>Sources &amp; Uses</t>
  </si>
  <si>
    <t>Total Sources</t>
  </si>
  <si>
    <t>$ Amount</t>
  </si>
  <si>
    <t>%</t>
  </si>
  <si>
    <t>Cash</t>
  </si>
  <si>
    <t>NWC</t>
  </si>
  <si>
    <t>A/R</t>
  </si>
  <si>
    <t>DSO</t>
  </si>
  <si>
    <t>Inventory</t>
  </si>
  <si>
    <t>DIO</t>
  </si>
  <si>
    <t>Prepaid Expenses</t>
  </si>
  <si>
    <t>% of Rev</t>
  </si>
  <si>
    <t>Accounts Payable</t>
  </si>
  <si>
    <t>DPO</t>
  </si>
  <si>
    <t>Accrued Expenses</t>
  </si>
  <si>
    <t>% of COGS</t>
  </si>
  <si>
    <t>Returns</t>
  </si>
  <si>
    <t>Inc. Flow</t>
  </si>
  <si>
    <t>Exit Value (net of debt)</t>
  </si>
  <si>
    <t>FCF</t>
  </si>
  <si>
    <t>Unlevered Returns</t>
  </si>
  <si>
    <t>Levered Returns</t>
  </si>
  <si>
    <t>Upside</t>
  </si>
  <si>
    <t>Downside</t>
  </si>
  <si>
    <t>Growth</t>
  </si>
  <si>
    <t>Margin</t>
  </si>
  <si>
    <t>Unlevered Return</t>
  </si>
  <si>
    <t>Enterprise Value</t>
  </si>
  <si>
    <t>Levered Return</t>
  </si>
  <si>
    <t>Discount Rate</t>
  </si>
  <si>
    <t>Sens</t>
  </si>
  <si>
    <t>Variable</t>
  </si>
  <si>
    <t>Step</t>
  </si>
  <si>
    <t>Impact</t>
  </si>
  <si>
    <t>Margin Expansion</t>
  </si>
  <si>
    <t>Multiple Expansion</t>
  </si>
  <si>
    <t>Base Case</t>
  </si>
  <si>
    <t>Companies</t>
  </si>
  <si>
    <t>Revenue</t>
  </si>
  <si>
    <t>EBITDA Multiple</t>
  </si>
  <si>
    <t>EBITDA Margins</t>
  </si>
  <si>
    <t>D&amp;B Shoe Company</t>
  </si>
  <si>
    <t>Surfside Footwear</t>
  </si>
  <si>
    <t>Templeton Athletic</t>
  </si>
  <si>
    <t>Median</t>
  </si>
  <si>
    <t>Mercury Athletic</t>
  </si>
  <si>
    <t>N/A</t>
  </si>
  <si>
    <t>10Yr CAGR</t>
  </si>
  <si>
    <t>Margins:</t>
  </si>
  <si>
    <t>General Shoe Company</t>
  </si>
  <si>
    <t>Kinsley Coulter Products</t>
  </si>
  <si>
    <t>Heartland Outdoor Foot ware</t>
  </si>
  <si>
    <t>Men's Athletics Growth</t>
  </si>
  <si>
    <t>Men's Athletics</t>
  </si>
  <si>
    <t>Men's Casual Growth</t>
  </si>
  <si>
    <t>Women's Athletics Growth</t>
  </si>
  <si>
    <t>Men's Casual</t>
  </si>
  <si>
    <t>Women's Casual Growth</t>
  </si>
  <si>
    <t>Men's Athletics Margin %</t>
  </si>
  <si>
    <t>Men's Casual Margin %</t>
  </si>
  <si>
    <t>Women's Casual</t>
  </si>
  <si>
    <t>Women's Casual Margin %</t>
  </si>
  <si>
    <t>Acquisition Cost</t>
  </si>
  <si>
    <t>Capitalization</t>
  </si>
  <si>
    <t>Holdco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</si>
</sst>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"/>
    <numFmt numFmtId="165" formatCode="0.0%"/>
    <numFmt numFmtId="166" formatCode="_(* #,##0_);_(* \(#,##0\);_(* &quot;-&quot;??_);_(@_)"/>
    <numFmt numFmtId="167" formatCode="0.0\x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sz val="11"/>
      <color theme="1"/>
      <name val="Playbill"/>
      <family val="5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left" indent="1"/>
    </xf>
    <xf numFmtId="0" fontId="5" fillId="0" borderId="2" xfId="0" applyFont="1" applyBorder="1"/>
    <xf numFmtId="0" fontId="5" fillId="0" borderId="0" xfId="0" applyFont="1"/>
    <xf numFmtId="165" fontId="0" fillId="0" borderId="0" xfId="2" applyNumberFormat="1" applyFont="1"/>
    <xf numFmtId="165" fontId="4" fillId="0" borderId="0" xfId="2" applyNumberFormat="1" applyFont="1"/>
    <xf numFmtId="0" fontId="0" fillId="0" borderId="1" xfId="0" applyBorder="1" applyAlignment="1">
      <alignment horizontal="right"/>
    </xf>
    <xf numFmtId="9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66" fontId="5" fillId="0" borderId="2" xfId="1" applyNumberFormat="1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166" fontId="0" fillId="0" borderId="2" xfId="1" applyNumberFormat="1" applyFont="1" applyBorder="1"/>
    <xf numFmtId="0" fontId="6" fillId="0" borderId="0" xfId="0" applyFont="1"/>
    <xf numFmtId="166" fontId="0" fillId="0" borderId="0" xfId="0" applyNumberFormat="1"/>
    <xf numFmtId="0" fontId="4" fillId="0" borderId="0" xfId="0" applyFont="1"/>
    <xf numFmtId="166" fontId="5" fillId="0" borderId="1" xfId="1" applyNumberFormat="1" applyFont="1" applyBorder="1"/>
    <xf numFmtId="0" fontId="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/>
    <xf numFmtId="166" fontId="5" fillId="0" borderId="2" xfId="0" applyNumberFormat="1" applyFont="1" applyBorder="1"/>
    <xf numFmtId="167" fontId="0" fillId="0" borderId="0" xfId="0" applyNumberFormat="1"/>
    <xf numFmtId="167" fontId="5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0" xfId="2" applyFont="1"/>
    <xf numFmtId="9" fontId="0" fillId="0" borderId="1" xfId="2" applyFont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166" fontId="6" fillId="0" borderId="0" xfId="1" applyNumberFormat="1" applyFont="1"/>
    <xf numFmtId="166" fontId="6" fillId="0" borderId="0" xfId="0" applyNumberFormat="1" applyFont="1"/>
    <xf numFmtId="0" fontId="5" fillId="4" borderId="5" xfId="0" applyFont="1" applyFill="1" applyBorder="1"/>
    <xf numFmtId="0" fontId="5" fillId="4" borderId="7" xfId="0" applyFont="1" applyFill="1" applyBorder="1"/>
    <xf numFmtId="165" fontId="5" fillId="4" borderId="6" xfId="0" applyNumberFormat="1" applyFont="1" applyFill="1" applyBorder="1"/>
    <xf numFmtId="9" fontId="5" fillId="4" borderId="8" xfId="0" applyNumberFormat="1" applyFont="1" applyFill="1" applyBorder="1"/>
    <xf numFmtId="10" fontId="0" fillId="0" borderId="0" xfId="0" applyNumberFormat="1"/>
    <xf numFmtId="0" fontId="5" fillId="0" borderId="9" xfId="0" applyFont="1" applyBorder="1"/>
    <xf numFmtId="166" fontId="5" fillId="0" borderId="10" xfId="1" applyNumberFormat="1" applyFont="1" applyBorder="1"/>
    <xf numFmtId="9" fontId="6" fillId="0" borderId="0" xfId="0" applyNumberFormat="1" applyFont="1"/>
    <xf numFmtId="165" fontId="6" fillId="0" borderId="0" xfId="2" applyNumberFormat="1" applyFont="1"/>
    <xf numFmtId="166" fontId="7" fillId="0" borderId="0" xfId="1" applyNumberFormat="1" applyFont="1"/>
    <xf numFmtId="0" fontId="8" fillId="2" borderId="0" xfId="0" applyFont="1" applyFill="1" applyAlignment="1">
      <alignment horizontal="center"/>
    </xf>
    <xf numFmtId="0" fontId="9" fillId="0" borderId="0" xfId="0" applyFont="1"/>
    <xf numFmtId="0" fontId="5" fillId="4" borderId="11" xfId="0" applyFont="1" applyFill="1" applyBorder="1"/>
    <xf numFmtId="166" fontId="0" fillId="0" borderId="0" xfId="1" applyNumberFormat="1" applyFont="1" applyAlignment="1">
      <alignment horizontal="center"/>
    </xf>
    <xf numFmtId="166" fontId="5" fillId="4" borderId="11" xfId="1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5" fontId="5" fillId="4" borderId="11" xfId="2" applyNumberFormat="1" applyFont="1" applyFill="1" applyBorder="1" applyAlignment="1">
      <alignment horizontal="right"/>
    </xf>
    <xf numFmtId="167" fontId="5" fillId="4" borderId="11" xfId="0" applyNumberFormat="1" applyFont="1" applyFill="1" applyBorder="1" applyAlignment="1">
      <alignment horizontal="right"/>
    </xf>
    <xf numFmtId="0" fontId="5" fillId="3" borderId="11" xfId="0" applyFont="1" applyFill="1" applyBorder="1"/>
    <xf numFmtId="0" fontId="5" fillId="3" borderId="11" xfId="0" applyFont="1" applyFill="1" applyBorder="1" applyAlignment="1">
      <alignment horizontal="right"/>
    </xf>
    <xf numFmtId="165" fontId="5" fillId="3" borderId="11" xfId="2" applyNumberFormat="1" applyFont="1" applyFill="1" applyBorder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right"/>
    </xf>
    <xf numFmtId="165" fontId="0" fillId="0" borderId="2" xfId="0" applyNumberFormat="1" applyBorder="1"/>
    <xf numFmtId="164" fontId="8" fillId="2" borderId="0" xfId="0" applyNumberFormat="1" applyFont="1" applyFill="1" applyAlignment="1">
      <alignment horizontal="center"/>
    </xf>
    <xf numFmtId="0" fontId="0" fillId="5" borderId="3" xfId="0" applyFill="1" applyBorder="1"/>
    <xf numFmtId="0" fontId="0" fillId="4" borderId="0" xfId="0" applyFill="1"/>
    <xf numFmtId="165" fontId="0" fillId="4" borderId="0" xfId="2" applyNumberFormat="1" applyFont="1" applyFill="1"/>
    <xf numFmtId="166" fontId="0" fillId="4" borderId="0" xfId="1" applyNumberFormat="1" applyFont="1" applyFill="1"/>
    <xf numFmtId="0" fontId="5" fillId="4" borderId="2" xfId="0" applyFont="1" applyFill="1" applyBorder="1"/>
    <xf numFmtId="166" fontId="5" fillId="4" borderId="2" xfId="0" applyNumberFormat="1" applyFont="1" applyFill="1" applyBorder="1"/>
    <xf numFmtId="0" fontId="5" fillId="4" borderId="4" xfId="0" applyFont="1" applyFill="1" applyBorder="1"/>
    <xf numFmtId="166" fontId="5" fillId="4" borderId="4" xfId="1" applyNumberFormat="1" applyFont="1" applyFill="1" applyBorder="1"/>
    <xf numFmtId="166" fontId="5" fillId="4" borderId="11" xfId="0" applyNumberFormat="1" applyFont="1" applyFill="1" applyBorder="1"/>
    <xf numFmtId="166" fontId="5" fillId="4" borderId="2" xfId="1" applyNumberFormat="1" applyFont="1" applyFill="1" applyBorder="1"/>
    <xf numFmtId="0" fontId="5" fillId="4" borderId="4" xfId="0" applyFont="1" applyFill="1" applyBorder="1" applyAlignment="1">
      <alignment horizontal="left"/>
    </xf>
    <xf numFmtId="166" fontId="5" fillId="4" borderId="4" xfId="0" applyNumberFormat="1" applyFont="1" applyFill="1" applyBorder="1"/>
    <xf numFmtId="0" fontId="8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5" fontId="1" fillId="0" borderId="0" xfId="2" applyNumberFormat="1" applyFont="1" applyBorder="1"/>
    <xf numFmtId="0" fontId="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Model!$B$7</c:f>
              <c:strCache>
                <c:ptCount val="1"/>
                <c:pt idx="0">
                  <c:v>Men's Athletics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Model!$C$4:$M$4</c:f>
              <c:numCache>
                <c:formatCode>yyyy</c:formatCode>
                <c:ptCount val="11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  <c:pt idx="6">
                  <c:v>41272</c:v>
                </c:pt>
                <c:pt idx="7">
                  <c:v>41637</c:v>
                </c:pt>
                <c:pt idx="8">
                  <c:v>42002</c:v>
                </c:pt>
                <c:pt idx="9">
                  <c:v>42367</c:v>
                </c:pt>
                <c:pt idx="10">
                  <c:v>42732</c:v>
                </c:pt>
              </c:numCache>
            </c:numRef>
          </c:cat>
          <c:val>
            <c:numRef>
              <c:f>Model!$C$7:$M$7</c:f>
              <c:numCache>
                <c:formatCode>_(* #,##0_);_(* \(#,##0\);_(* "-"??_);_(@_)</c:formatCode>
                <c:ptCount val="11"/>
                <c:pt idx="0" formatCode="General">
                  <c:v>219093</c:v>
                </c:pt>
                <c:pt idx="1">
                  <c:v>236620.44</c:v>
                </c:pt>
                <c:pt idx="2">
                  <c:v>255550.07520000002</c:v>
                </c:pt>
                <c:pt idx="3">
                  <c:v>275994.08121600002</c:v>
                </c:pt>
                <c:pt idx="4">
                  <c:v>298073.60771328001</c:v>
                </c:pt>
                <c:pt idx="5">
                  <c:v>321919.49633034243</c:v>
                </c:pt>
                <c:pt idx="6">
                  <c:v>347673.05603676982</c:v>
                </c:pt>
                <c:pt idx="7">
                  <c:v>375486.90051971143</c:v>
                </c:pt>
                <c:pt idx="8">
                  <c:v>405525.8525612884</c:v>
                </c:pt>
                <c:pt idx="9">
                  <c:v>437967.9207661915</c:v>
                </c:pt>
                <c:pt idx="10">
                  <c:v>473005.35442748683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5-4CBC-8E2A-F8B57D28667E}"/>
            </c:ext>
          </c:extLst>
        </c:ser>
        <c:ser>
          <c:idx val="6"/>
          <c:order val="3"/>
          <c:tx>
            <c:strRef>
              <c:f>Model!$B$11</c:f>
              <c:strCache>
                <c:ptCount val="1"/>
                <c:pt idx="0">
                  <c:v>Women Athletic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Model!$C$4:$M$4</c:f>
              <c:numCache>
                <c:formatCode>yyyy</c:formatCode>
                <c:ptCount val="11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  <c:pt idx="6">
                  <c:v>41272</c:v>
                </c:pt>
                <c:pt idx="7">
                  <c:v>41637</c:v>
                </c:pt>
                <c:pt idx="8">
                  <c:v>42002</c:v>
                </c:pt>
                <c:pt idx="9">
                  <c:v>42367</c:v>
                </c:pt>
                <c:pt idx="10">
                  <c:v>42732</c:v>
                </c:pt>
              </c:numCache>
            </c:numRef>
          </c:cat>
          <c:val>
            <c:numRef>
              <c:f>Model!$C$11:$M$11</c:f>
              <c:numCache>
                <c:formatCode>_(* #,##0_);_(* \(#,##0\);_(* "-"??_);_(@_)</c:formatCode>
                <c:ptCount val="11"/>
                <c:pt idx="0" formatCode="General">
                  <c:v>123563</c:v>
                </c:pt>
                <c:pt idx="1">
                  <c:v>128505.52</c:v>
                </c:pt>
                <c:pt idx="2">
                  <c:v>133645.7408</c:v>
                </c:pt>
                <c:pt idx="3">
                  <c:v>138991.57043200001</c:v>
                </c:pt>
                <c:pt idx="4">
                  <c:v>144551.23324928002</c:v>
                </c:pt>
                <c:pt idx="5">
                  <c:v>150333.28257925122</c:v>
                </c:pt>
                <c:pt idx="6">
                  <c:v>156346.61388242128</c:v>
                </c:pt>
                <c:pt idx="7">
                  <c:v>162600.47843771815</c:v>
                </c:pt>
                <c:pt idx="8">
                  <c:v>169104.49757522688</c:v>
                </c:pt>
                <c:pt idx="9">
                  <c:v>175868.67747823597</c:v>
                </c:pt>
                <c:pt idx="10">
                  <c:v>182903.42457736543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15-4CBC-8E2A-F8B57D28667E}"/>
            </c:ext>
          </c:extLst>
        </c:ser>
        <c:ser>
          <c:idx val="4"/>
          <c:order val="6"/>
          <c:tx>
            <c:strRef>
              <c:f>Model!$B$9</c:f>
              <c:strCache>
                <c:ptCount val="1"/>
                <c:pt idx="0">
                  <c:v>Men's Casual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Model!$C$4:$M$4</c:f>
              <c:numCache>
                <c:formatCode>yyyy</c:formatCode>
                <c:ptCount val="11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  <c:pt idx="6">
                  <c:v>41272</c:v>
                </c:pt>
                <c:pt idx="7">
                  <c:v>41637</c:v>
                </c:pt>
                <c:pt idx="8">
                  <c:v>42002</c:v>
                </c:pt>
                <c:pt idx="9">
                  <c:v>42367</c:v>
                </c:pt>
                <c:pt idx="10">
                  <c:v>42732</c:v>
                </c:pt>
              </c:numCache>
            </c:numRef>
          </c:cat>
          <c:val>
            <c:numRef>
              <c:f>Model!$C$9:$M$9</c:f>
              <c:numCache>
                <c:formatCode>_(* #,##0_);_(* \(#,##0\);_(* "-"??_);_(@_)</c:formatCode>
                <c:ptCount val="11"/>
                <c:pt idx="0" formatCode="General">
                  <c:v>51663</c:v>
                </c:pt>
                <c:pt idx="1">
                  <c:v>52696.26</c:v>
                </c:pt>
                <c:pt idx="2">
                  <c:v>53750.1852</c:v>
                </c:pt>
                <c:pt idx="3">
                  <c:v>54825.188904000002</c:v>
                </c:pt>
                <c:pt idx="4">
                  <c:v>55921.69268208</c:v>
                </c:pt>
                <c:pt idx="5">
                  <c:v>57040.126535721603</c:v>
                </c:pt>
                <c:pt idx="6">
                  <c:v>58180.929066436038</c:v>
                </c:pt>
                <c:pt idx="7">
                  <c:v>59344.547647764761</c:v>
                </c:pt>
                <c:pt idx="8">
                  <c:v>60531.438600720059</c:v>
                </c:pt>
                <c:pt idx="9">
                  <c:v>61742.067372734462</c:v>
                </c:pt>
                <c:pt idx="10">
                  <c:v>62976.908720189153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5-4CBC-8E2A-F8B57D28667E}"/>
            </c:ext>
          </c:extLst>
        </c:ser>
        <c:ser>
          <c:idx val="8"/>
          <c:order val="9"/>
          <c:tx>
            <c:strRef>
              <c:f>Model!$B$13</c:f>
              <c:strCache>
                <c:ptCount val="1"/>
                <c:pt idx="0">
                  <c:v>Women's Casual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Model!$C$4:$M$4</c:f>
              <c:numCache>
                <c:formatCode>yyyy</c:formatCode>
                <c:ptCount val="11"/>
                <c:pt idx="0">
                  <c:v>39082</c:v>
                </c:pt>
                <c:pt idx="1">
                  <c:v>39447</c:v>
                </c:pt>
                <c:pt idx="2">
                  <c:v>39812</c:v>
                </c:pt>
                <c:pt idx="3">
                  <c:v>40177</c:v>
                </c:pt>
                <c:pt idx="4">
                  <c:v>40542</c:v>
                </c:pt>
                <c:pt idx="5">
                  <c:v>40907</c:v>
                </c:pt>
                <c:pt idx="6">
                  <c:v>41272</c:v>
                </c:pt>
                <c:pt idx="7">
                  <c:v>41637</c:v>
                </c:pt>
                <c:pt idx="8">
                  <c:v>42002</c:v>
                </c:pt>
                <c:pt idx="9">
                  <c:v>42367</c:v>
                </c:pt>
                <c:pt idx="10">
                  <c:v>42732</c:v>
                </c:pt>
              </c:numCache>
            </c:numRef>
          </c:cat>
          <c:val>
            <c:numRef>
              <c:f>Model!$C$13:$M$13</c:f>
              <c:numCache>
                <c:formatCode>_(* #,##0_);_(* \(#,##0\);_(* "-"??_);_(@_)</c:formatCode>
                <c:ptCount val="11"/>
                <c:pt idx="0" formatCode="General">
                  <c:v>36802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15-4CBC-8E2A-F8B57D28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8746799"/>
        <c:axId val="10287477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Model!$C$5:$M$5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215-4CBC-8E2A-F8B57D28667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Model!$B$6</c15:sqref>
                        </c15:formulaRef>
                      </c:ext>
                    </c:extLst>
                    <c:strCache>
                      <c:ptCount val="1"/>
                      <c:pt idx="0">
                        <c:v>Revenue: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Model!$C$6:$M$6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15-4CBC-8E2A-F8B57D28667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Model!$B$8</c15:sqref>
                        </c15:formulaRef>
                      </c:ext>
                    </c:extLst>
                    <c:strCache>
                      <c:ptCount val="1"/>
                      <c:pt idx="0">
                        <c:v>Growth %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Model!$C$8:$M$8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1">
                        <c:v>0.08</c:v>
                      </c:pt>
                      <c:pt idx="2">
                        <c:v>0.08</c:v>
                      </c:pt>
                      <c:pt idx="3">
                        <c:v>0.08</c:v>
                      </c:pt>
                      <c:pt idx="4">
                        <c:v>0.08</c:v>
                      </c:pt>
                      <c:pt idx="5">
                        <c:v>0.08</c:v>
                      </c:pt>
                      <c:pt idx="6">
                        <c:v>0.08</c:v>
                      </c:pt>
                      <c:pt idx="7">
                        <c:v>0.08</c:v>
                      </c:pt>
                      <c:pt idx="8">
                        <c:v>0.08</c:v>
                      </c:pt>
                      <c:pt idx="9">
                        <c:v>0.08</c:v>
                      </c:pt>
                      <c:pt idx="10">
                        <c:v>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15-4CBC-8E2A-F8B57D28667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Model!$B$10</c15:sqref>
                        </c15:formulaRef>
                      </c:ext>
                    </c:extLst>
                    <c:strCache>
                      <c:ptCount val="1"/>
                      <c:pt idx="0">
                        <c:v>Growth %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Model!$C$10:$M$10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1">
                        <c:v>0.02</c:v>
                      </c:pt>
                      <c:pt idx="2">
                        <c:v>0.02</c:v>
                      </c:pt>
                      <c:pt idx="3">
                        <c:v>0.02</c:v>
                      </c:pt>
                      <c:pt idx="4">
                        <c:v>0.02</c:v>
                      </c:pt>
                      <c:pt idx="5">
                        <c:v>0.02</c:v>
                      </c:pt>
                      <c:pt idx="6">
                        <c:v>0.02</c:v>
                      </c:pt>
                      <c:pt idx="7">
                        <c:v>0.02</c:v>
                      </c:pt>
                      <c:pt idx="8">
                        <c:v>0.02</c:v>
                      </c:pt>
                      <c:pt idx="9">
                        <c:v>0.02</c:v>
                      </c:pt>
                      <c:pt idx="10">
                        <c:v>0.02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15-4CBC-8E2A-F8B57D28667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Model!$B$12</c15:sqref>
                        </c15:formulaRef>
                      </c:ext>
                    </c:extLst>
                    <c:strCache>
                      <c:ptCount val="1"/>
                      <c:pt idx="0">
                        <c:v>Growth %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Model!$C$12:$M$12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1">
                        <c:v>0.04</c:v>
                      </c:pt>
                      <c:pt idx="2">
                        <c:v>0.04</c:v>
                      </c:pt>
                      <c:pt idx="3">
                        <c:v>0.04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6">
                        <c:v>0.04</c:v>
                      </c:pt>
                      <c:pt idx="7">
                        <c:v>0.04</c:v>
                      </c:pt>
                      <c:pt idx="8">
                        <c:v>0.04</c:v>
                      </c:pt>
                      <c:pt idx="9">
                        <c:v>0.04</c:v>
                      </c:pt>
                      <c:pt idx="10">
                        <c:v>0.04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15-4CBC-8E2A-F8B57D28667E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Model!$B$14</c15:sqref>
                        </c15:formulaRef>
                      </c:ext>
                    </c:extLst>
                    <c:strCache>
                      <c:ptCount val="1"/>
                      <c:pt idx="0">
                        <c:v>Growth %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Model!$C$4:$M$4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39082</c:v>
                      </c:pt>
                      <c:pt idx="1">
                        <c:v>39447</c:v>
                      </c:pt>
                      <c:pt idx="2">
                        <c:v>39812</c:v>
                      </c:pt>
                      <c:pt idx="3">
                        <c:v>40177</c:v>
                      </c:pt>
                      <c:pt idx="4">
                        <c:v>40542</c:v>
                      </c:pt>
                      <c:pt idx="5">
                        <c:v>40907</c:v>
                      </c:pt>
                      <c:pt idx="6">
                        <c:v>41272</c:v>
                      </c:pt>
                      <c:pt idx="7">
                        <c:v>41637</c:v>
                      </c:pt>
                      <c:pt idx="8">
                        <c:v>42002</c:v>
                      </c:pt>
                      <c:pt idx="9">
                        <c:v>42367</c:v>
                      </c:pt>
                      <c:pt idx="10">
                        <c:v>42732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Model!$C$14:$M$14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1">
                        <c:v>0.02</c:v>
                      </c:pt>
                      <c:pt idx="2">
                        <c:v>0.02</c:v>
                      </c:pt>
                      <c:pt idx="3">
                        <c:v>0.02</c:v>
                      </c:pt>
                      <c:pt idx="4">
                        <c:v>0.02</c:v>
                      </c:pt>
                      <c:pt idx="5">
                        <c:v>0.02</c:v>
                      </c:pt>
                      <c:pt idx="6">
                        <c:v>0.02</c:v>
                      </c:pt>
                      <c:pt idx="7">
                        <c:v>0.02</c:v>
                      </c:pt>
                      <c:pt idx="8">
                        <c:v>0.02</c:v>
                      </c:pt>
                      <c:pt idx="9">
                        <c:v>0.02</c:v>
                      </c:pt>
                      <c:pt idx="10">
                        <c:v>0.02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215-4CBC-8E2A-F8B57D28667E}"/>
                  </c:ext>
                </c:extLst>
              </c15:ser>
            </c15:filteredBarSeries>
          </c:ext>
        </c:extLst>
      </c:barChart>
      <c:dateAx>
        <c:axId val="1028746799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747759"/>
        <c:crosses val="autoZero"/>
        <c:auto val="1"/>
        <c:lblOffset val="100"/>
        <c:baseTimeUnit val="years"/>
      </c:dateAx>
      <c:valAx>
        <c:axId val="1028747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874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A7578FAA-120D-4F0C-A42F-F3C8FE2B28AF}">
          <cx:dataLabels pos="outEnd">
            <cx:visibility seriesName="0" categoryName="0" value="1"/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</cx:axis>
      <cx:axis id="1" hidden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137449</xdr:colOff>
      <xdr:row>51</xdr:row>
      <xdr:rowOff>55140</xdr:rowOff>
    </xdr:from>
    <xdr:to>
      <xdr:col>30</xdr:col>
      <xdr:colOff>586772</xdr:colOff>
      <xdr:row>66</xdr:row>
      <xdr:rowOff>25239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55CC4B8-EFA4-7FA8-6F8A-5CA453DFF2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634999" y="9516640"/>
              <a:ext cx="6545323" cy="2732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112532</xdr:colOff>
      <xdr:row>67</xdr:row>
      <xdr:rowOff>176835</xdr:rowOff>
    </xdr:from>
    <xdr:to>
      <xdr:col>33</xdr:col>
      <xdr:colOff>289367</xdr:colOff>
      <xdr:row>92</xdr:row>
      <xdr:rowOff>80380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BFE5D9-2324-B931-CDE7-2F7625E94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135"/>
  <sheetViews>
    <sheetView showGridLines="0" tabSelected="1" topLeftCell="B1" zoomScale="50" workbookViewId="0">
      <selection activeCell="O27" sqref="O27"/>
    </sheetView>
  </sheetViews>
  <sheetFormatPr defaultColWidth="10.6328125" defaultRowHeight="14.5" outlineLevelCol="1" x14ac:dyDescent="0.35"/>
  <cols>
    <col min="1" max="1" width="1.6328125" customWidth="1"/>
    <col min="2" max="2" width="25.6328125" customWidth="1"/>
    <col min="3" max="3" width="12.1796875" bestFit="1" customWidth="1"/>
    <col min="4" max="4" width="10.6328125" customWidth="1"/>
    <col min="5" max="5" width="11.1796875" customWidth="1" outlineLevel="1"/>
    <col min="6" max="6" width="14.08984375" customWidth="1" outlineLevel="1"/>
    <col min="7" max="7" width="10.6328125" customWidth="1" outlineLevel="1"/>
    <col min="8" max="11" width="11.26953125" customWidth="1" outlineLevel="1"/>
    <col min="12" max="13" width="11.26953125" bestFit="1" customWidth="1"/>
    <col min="17" max="17" width="25.6328125" customWidth="1"/>
    <col min="18" max="22" width="10.7265625" bestFit="1" customWidth="1"/>
    <col min="23" max="26" width="11.08984375" bestFit="1" customWidth="1"/>
    <col min="27" max="31" width="10.7265625" bestFit="1" customWidth="1"/>
  </cols>
  <sheetData>
    <row r="2" spans="1:46" x14ac:dyDescent="0.35">
      <c r="A2" t="s">
        <v>0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" t="s">
        <v>10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6" x14ac:dyDescent="0.35">
      <c r="R3" t="s">
        <v>11</v>
      </c>
    </row>
    <row r="4" spans="1:46" ht="16" x14ac:dyDescent="0.5">
      <c r="B4" s="2" t="s">
        <v>2</v>
      </c>
      <c r="C4" s="3">
        <v>39082</v>
      </c>
      <c r="D4" s="3">
        <f>C4+365</f>
        <v>39447</v>
      </c>
      <c r="E4" s="3">
        <f t="shared" ref="E4:M4" si="0">D4+365</f>
        <v>39812</v>
      </c>
      <c r="F4" s="3">
        <f t="shared" si="0"/>
        <v>40177</v>
      </c>
      <c r="G4" s="3">
        <f t="shared" si="0"/>
        <v>40542</v>
      </c>
      <c r="H4" s="3">
        <f t="shared" si="0"/>
        <v>40907</v>
      </c>
      <c r="I4" s="3">
        <f t="shared" si="0"/>
        <v>41272</v>
      </c>
      <c r="J4" s="3">
        <f t="shared" si="0"/>
        <v>41637</v>
      </c>
      <c r="K4" s="3">
        <f t="shared" si="0"/>
        <v>42002</v>
      </c>
      <c r="L4" s="3">
        <f t="shared" si="0"/>
        <v>42367</v>
      </c>
      <c r="M4" s="3">
        <f t="shared" si="0"/>
        <v>42732</v>
      </c>
      <c r="O4" s="3"/>
      <c r="R4" s="62">
        <v>1</v>
      </c>
    </row>
    <row r="5" spans="1:46" ht="16" x14ac:dyDescent="0.5">
      <c r="N5" s="75"/>
      <c r="O5" s="75"/>
      <c r="Q5" s="4" t="s">
        <v>12</v>
      </c>
      <c r="R5" s="10" t="str">
        <f ca="1">OFFSET(R5,,$R$4)</f>
        <v>Base</v>
      </c>
      <c r="S5" s="10" t="s">
        <v>13</v>
      </c>
      <c r="T5" s="4" t="s">
        <v>62</v>
      </c>
      <c r="U5" s="4" t="s">
        <v>63</v>
      </c>
      <c r="V5" s="4" t="s">
        <v>33</v>
      </c>
      <c r="W5" s="4" t="s">
        <v>64</v>
      </c>
      <c r="X5" s="4" t="s">
        <v>74</v>
      </c>
      <c r="Y5" s="4" t="s">
        <v>20</v>
      </c>
      <c r="Z5" s="4" t="s">
        <v>75</v>
      </c>
      <c r="AA5" s="4" t="s">
        <v>70</v>
      </c>
      <c r="AB5" s="4"/>
      <c r="AC5" s="4"/>
    </row>
    <row r="6" spans="1:46" x14ac:dyDescent="0.35">
      <c r="A6" t="s">
        <v>0</v>
      </c>
      <c r="B6" s="15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Q6" t="s">
        <v>92</v>
      </c>
      <c r="R6" s="63">
        <f t="shared" ref="R6:R20" ca="1" si="1">OFFSET(R6,,$R$4)</f>
        <v>0.08</v>
      </c>
      <c r="S6" s="11">
        <v>0.08</v>
      </c>
      <c r="T6" s="11">
        <f>S6+1%</f>
        <v>0.09</v>
      </c>
      <c r="U6" s="11">
        <f>S6-1%</f>
        <v>7.0000000000000007E-2</v>
      </c>
      <c r="V6" s="11">
        <v>0</v>
      </c>
      <c r="W6" s="11">
        <f>$S6</f>
        <v>0.08</v>
      </c>
      <c r="X6" s="11">
        <f t="shared" ref="X6:Z6" si="2">$S6</f>
        <v>0.08</v>
      </c>
      <c r="Y6" s="11">
        <f t="shared" si="2"/>
        <v>0.08</v>
      </c>
      <c r="Z6" s="11">
        <f t="shared" si="2"/>
        <v>0.08</v>
      </c>
      <c r="AA6" s="43">
        <v>0.1</v>
      </c>
      <c r="AB6" s="11">
        <f t="shared" ref="AB6:AQ21" si="3">$S6</f>
        <v>0.08</v>
      </c>
      <c r="AC6" s="11">
        <f t="shared" si="3"/>
        <v>0.08</v>
      </c>
      <c r="AD6" s="11">
        <f t="shared" si="3"/>
        <v>0.08</v>
      </c>
      <c r="AE6" s="11">
        <f t="shared" si="3"/>
        <v>0.08</v>
      </c>
      <c r="AF6" s="11">
        <f t="shared" si="3"/>
        <v>0.08</v>
      </c>
      <c r="AG6" s="11">
        <f t="shared" si="3"/>
        <v>0.08</v>
      </c>
      <c r="AH6" s="11">
        <f t="shared" si="3"/>
        <v>0.08</v>
      </c>
      <c r="AI6" s="11">
        <f t="shared" si="3"/>
        <v>0.08</v>
      </c>
      <c r="AJ6" s="11">
        <f t="shared" si="3"/>
        <v>0.08</v>
      </c>
      <c r="AK6" s="11">
        <f t="shared" si="3"/>
        <v>0.08</v>
      </c>
      <c r="AL6" s="11">
        <f t="shared" si="3"/>
        <v>0.08</v>
      </c>
      <c r="AM6" s="11">
        <f t="shared" si="3"/>
        <v>0.08</v>
      </c>
      <c r="AN6" s="11">
        <f t="shared" si="3"/>
        <v>0.08</v>
      </c>
      <c r="AO6" s="11">
        <f t="shared" si="3"/>
        <v>0.08</v>
      </c>
      <c r="AP6" s="11">
        <f t="shared" si="3"/>
        <v>0.08</v>
      </c>
      <c r="AQ6" s="11">
        <f t="shared" si="3"/>
        <v>0.08</v>
      </c>
      <c r="AR6" s="11">
        <f t="shared" ref="AP6:AT21" si="4">$S6</f>
        <v>0.08</v>
      </c>
      <c r="AS6" s="11">
        <f t="shared" si="4"/>
        <v>0.08</v>
      </c>
      <c r="AT6" s="11">
        <f t="shared" si="4"/>
        <v>0.08</v>
      </c>
    </row>
    <row r="7" spans="1:46" x14ac:dyDescent="0.35">
      <c r="B7" t="s">
        <v>93</v>
      </c>
      <c r="C7" s="18">
        <v>219093</v>
      </c>
      <c r="D7" s="13">
        <f ca="1">C7*(1+D8)</f>
        <v>236620.44</v>
      </c>
      <c r="E7" s="13">
        <f t="shared" ref="E7:M7" ca="1" si="5">D7*(1+E8)</f>
        <v>255550.07520000002</v>
      </c>
      <c r="F7" s="13">
        <f t="shared" ca="1" si="5"/>
        <v>275994.08121600002</v>
      </c>
      <c r="G7" s="13">
        <f t="shared" ca="1" si="5"/>
        <v>298073.60771328001</v>
      </c>
      <c r="H7" s="13">
        <f t="shared" ca="1" si="5"/>
        <v>321919.49633034243</v>
      </c>
      <c r="I7" s="13">
        <f t="shared" ca="1" si="5"/>
        <v>347673.05603676982</v>
      </c>
      <c r="J7" s="13">
        <f t="shared" ca="1" si="5"/>
        <v>375486.90051971143</v>
      </c>
      <c r="K7" s="13">
        <f t="shared" ca="1" si="5"/>
        <v>405525.8525612884</v>
      </c>
      <c r="L7" s="13">
        <f t="shared" ca="1" si="5"/>
        <v>437967.9207661915</v>
      </c>
      <c r="M7" s="13">
        <f t="shared" ca="1" si="5"/>
        <v>473005.35442748683</v>
      </c>
      <c r="N7" s="76">
        <f ca="1">_xlfn.RRI(10,C7,M7)</f>
        <v>8.0000000000000071E-2</v>
      </c>
      <c r="Q7" t="s">
        <v>94</v>
      </c>
      <c r="R7" s="63">
        <f t="shared" ca="1" si="1"/>
        <v>0.02</v>
      </c>
      <c r="S7" s="11">
        <v>0.02</v>
      </c>
      <c r="T7" s="11">
        <f t="shared" ref="T7:T8" si="6">S7+1%</f>
        <v>0.03</v>
      </c>
      <c r="U7" s="11">
        <f t="shared" ref="U7:U9" si="7">S7-1%</f>
        <v>0.01</v>
      </c>
      <c r="V7" s="11">
        <v>0</v>
      </c>
      <c r="W7" s="11">
        <f t="shared" ref="W7:AL22" si="8">$S7</f>
        <v>0.02</v>
      </c>
      <c r="X7" s="11">
        <f t="shared" si="8"/>
        <v>0.02</v>
      </c>
      <c r="Y7" s="11">
        <f t="shared" si="8"/>
        <v>0.02</v>
      </c>
      <c r="Z7" s="11">
        <f t="shared" si="8"/>
        <v>0.02</v>
      </c>
      <c r="AA7" s="11">
        <f t="shared" si="8"/>
        <v>0.02</v>
      </c>
      <c r="AB7" s="43">
        <v>0.04</v>
      </c>
      <c r="AC7" s="11">
        <f t="shared" si="8"/>
        <v>0.02</v>
      </c>
      <c r="AD7" s="11">
        <f t="shared" si="8"/>
        <v>0.02</v>
      </c>
      <c r="AE7" s="11">
        <f t="shared" si="8"/>
        <v>0.02</v>
      </c>
      <c r="AF7" s="11">
        <f t="shared" si="8"/>
        <v>0.02</v>
      </c>
      <c r="AG7" s="11">
        <f t="shared" si="8"/>
        <v>0.02</v>
      </c>
      <c r="AH7" s="11">
        <f t="shared" si="8"/>
        <v>0.02</v>
      </c>
      <c r="AI7" s="11">
        <f t="shared" si="8"/>
        <v>0.02</v>
      </c>
      <c r="AJ7" s="11">
        <f t="shared" si="8"/>
        <v>0.02</v>
      </c>
      <c r="AK7" s="11">
        <f t="shared" si="8"/>
        <v>0.02</v>
      </c>
      <c r="AL7" s="11">
        <f t="shared" si="8"/>
        <v>0.02</v>
      </c>
      <c r="AM7" s="11">
        <f t="shared" si="3"/>
        <v>0.02</v>
      </c>
      <c r="AN7" s="11">
        <f t="shared" si="3"/>
        <v>0.02</v>
      </c>
      <c r="AO7" s="11">
        <f t="shared" si="3"/>
        <v>0.02</v>
      </c>
      <c r="AP7" s="11">
        <f t="shared" si="4"/>
        <v>0.02</v>
      </c>
      <c r="AQ7" s="11">
        <f t="shared" si="4"/>
        <v>0.02</v>
      </c>
      <c r="AR7" s="11">
        <f t="shared" si="4"/>
        <v>0.02</v>
      </c>
      <c r="AS7" s="11">
        <f t="shared" si="4"/>
        <v>0.02</v>
      </c>
      <c r="AT7" s="11">
        <f t="shared" si="4"/>
        <v>0.02</v>
      </c>
    </row>
    <row r="8" spans="1:46" x14ac:dyDescent="0.35">
      <c r="B8" s="5" t="s">
        <v>5</v>
      </c>
      <c r="D8" s="12">
        <f ca="1">$R$6</f>
        <v>0.08</v>
      </c>
      <c r="E8" s="12">
        <f t="shared" ref="E8:M8" ca="1" si="9">$R$6</f>
        <v>0.08</v>
      </c>
      <c r="F8" s="12">
        <f t="shared" ca="1" si="9"/>
        <v>0.08</v>
      </c>
      <c r="G8" s="12">
        <f t="shared" ca="1" si="9"/>
        <v>0.08</v>
      </c>
      <c r="H8" s="12">
        <f t="shared" ca="1" si="9"/>
        <v>0.08</v>
      </c>
      <c r="I8" s="12">
        <f t="shared" ca="1" si="9"/>
        <v>0.08</v>
      </c>
      <c r="J8" s="12">
        <f t="shared" ca="1" si="9"/>
        <v>0.08</v>
      </c>
      <c r="K8" s="12">
        <f t="shared" ca="1" si="9"/>
        <v>0.08</v>
      </c>
      <c r="L8" s="12">
        <f t="shared" ca="1" si="9"/>
        <v>0.08</v>
      </c>
      <c r="M8" s="12">
        <f t="shared" ca="1" si="9"/>
        <v>0.08</v>
      </c>
      <c r="Q8" t="s">
        <v>95</v>
      </c>
      <c r="R8" s="63">
        <f t="shared" ca="1" si="1"/>
        <v>0.04</v>
      </c>
      <c r="S8" s="11">
        <v>0.04</v>
      </c>
      <c r="T8" s="11">
        <f t="shared" si="6"/>
        <v>0.05</v>
      </c>
      <c r="U8" s="11">
        <f t="shared" si="7"/>
        <v>0.03</v>
      </c>
      <c r="V8" s="11">
        <v>0</v>
      </c>
      <c r="W8" s="11">
        <f t="shared" si="8"/>
        <v>0.04</v>
      </c>
      <c r="X8" s="11">
        <f t="shared" si="8"/>
        <v>0.04</v>
      </c>
      <c r="Y8" s="11">
        <f t="shared" si="8"/>
        <v>0.04</v>
      </c>
      <c r="Z8" s="11">
        <f t="shared" si="8"/>
        <v>0.04</v>
      </c>
      <c r="AA8" s="11">
        <f t="shared" si="8"/>
        <v>0.04</v>
      </c>
      <c r="AB8" s="11">
        <f t="shared" si="3"/>
        <v>0.04</v>
      </c>
      <c r="AC8" s="43">
        <v>0.06</v>
      </c>
      <c r="AD8" s="11">
        <f t="shared" si="3"/>
        <v>0.04</v>
      </c>
      <c r="AE8" s="11">
        <f t="shared" si="3"/>
        <v>0.04</v>
      </c>
      <c r="AF8" s="11">
        <f t="shared" si="3"/>
        <v>0.04</v>
      </c>
      <c r="AG8" s="11">
        <f t="shared" si="3"/>
        <v>0.04</v>
      </c>
      <c r="AH8" s="11">
        <f t="shared" si="3"/>
        <v>0.04</v>
      </c>
      <c r="AI8" s="11">
        <f t="shared" si="3"/>
        <v>0.04</v>
      </c>
      <c r="AJ8" s="11">
        <f t="shared" si="3"/>
        <v>0.04</v>
      </c>
      <c r="AK8" s="11">
        <f t="shared" si="3"/>
        <v>0.04</v>
      </c>
      <c r="AL8" s="11">
        <f t="shared" si="3"/>
        <v>0.04</v>
      </c>
      <c r="AM8" s="11">
        <f t="shared" si="3"/>
        <v>0.04</v>
      </c>
      <c r="AN8" s="11">
        <f t="shared" si="3"/>
        <v>0.04</v>
      </c>
      <c r="AO8" s="11">
        <f t="shared" si="3"/>
        <v>0.04</v>
      </c>
      <c r="AP8" s="11">
        <f t="shared" si="4"/>
        <v>0.04</v>
      </c>
      <c r="AQ8" s="11">
        <f t="shared" si="4"/>
        <v>0.04</v>
      </c>
      <c r="AR8" s="11">
        <f t="shared" si="4"/>
        <v>0.04</v>
      </c>
      <c r="AS8" s="11">
        <f t="shared" si="4"/>
        <v>0.04</v>
      </c>
      <c r="AT8" s="11">
        <f t="shared" si="4"/>
        <v>0.04</v>
      </c>
    </row>
    <row r="9" spans="1:46" x14ac:dyDescent="0.35">
      <c r="B9" t="s">
        <v>96</v>
      </c>
      <c r="C9" s="18">
        <v>51663</v>
      </c>
      <c r="D9" s="13">
        <f ca="1">C9*(1+D10)</f>
        <v>52696.26</v>
      </c>
      <c r="E9" s="13">
        <f t="shared" ref="E9:M9" ca="1" si="10">D9*(1+E10)</f>
        <v>53750.1852</v>
      </c>
      <c r="F9" s="13">
        <f t="shared" ca="1" si="10"/>
        <v>54825.188904000002</v>
      </c>
      <c r="G9" s="13">
        <f t="shared" ca="1" si="10"/>
        <v>55921.69268208</v>
      </c>
      <c r="H9" s="13">
        <f t="shared" ca="1" si="10"/>
        <v>57040.126535721603</v>
      </c>
      <c r="I9" s="13">
        <f t="shared" ca="1" si="10"/>
        <v>58180.929066436038</v>
      </c>
      <c r="J9" s="13">
        <f t="shared" ca="1" si="10"/>
        <v>59344.547647764761</v>
      </c>
      <c r="K9" s="13">
        <f t="shared" ca="1" si="10"/>
        <v>60531.438600720059</v>
      </c>
      <c r="L9" s="13">
        <f t="shared" ca="1" si="10"/>
        <v>61742.067372734462</v>
      </c>
      <c r="M9" s="13">
        <f t="shared" ca="1" si="10"/>
        <v>62976.908720189153</v>
      </c>
      <c r="N9" s="76">
        <f ca="1">_xlfn.RRI(10,C9,M9)</f>
        <v>2.0000000000000018E-2</v>
      </c>
      <c r="Q9" t="s">
        <v>97</v>
      </c>
      <c r="R9" s="63">
        <f t="shared" ca="1" si="1"/>
        <v>0.02</v>
      </c>
      <c r="S9" s="11">
        <v>0.02</v>
      </c>
      <c r="T9" s="11">
        <v>0.05</v>
      </c>
      <c r="U9" s="11">
        <f t="shared" si="7"/>
        <v>0.01</v>
      </c>
      <c r="V9" s="11">
        <v>0</v>
      </c>
      <c r="W9" s="11">
        <f t="shared" si="8"/>
        <v>0.02</v>
      </c>
      <c r="X9" s="11">
        <f t="shared" si="8"/>
        <v>0.02</v>
      </c>
      <c r="Y9" s="11">
        <f t="shared" si="8"/>
        <v>0.02</v>
      </c>
      <c r="Z9" s="11">
        <f t="shared" si="8"/>
        <v>0.02</v>
      </c>
      <c r="AA9" s="11">
        <f t="shared" si="8"/>
        <v>0.02</v>
      </c>
      <c r="AB9" s="11">
        <f t="shared" si="3"/>
        <v>0.02</v>
      </c>
      <c r="AC9" s="11">
        <f t="shared" si="3"/>
        <v>0.02</v>
      </c>
      <c r="AD9" s="43">
        <v>0.04</v>
      </c>
      <c r="AE9" s="11">
        <f t="shared" si="3"/>
        <v>0.02</v>
      </c>
      <c r="AF9" s="11">
        <f t="shared" si="3"/>
        <v>0.02</v>
      </c>
      <c r="AG9" s="11">
        <f t="shared" si="3"/>
        <v>0.02</v>
      </c>
      <c r="AH9" s="11">
        <f t="shared" si="3"/>
        <v>0.02</v>
      </c>
      <c r="AI9" s="11">
        <f t="shared" si="3"/>
        <v>0.02</v>
      </c>
      <c r="AJ9" s="11">
        <f t="shared" si="3"/>
        <v>0.02</v>
      </c>
      <c r="AK9" s="11">
        <f t="shared" si="3"/>
        <v>0.02</v>
      </c>
      <c r="AL9" s="11">
        <f t="shared" si="3"/>
        <v>0.02</v>
      </c>
      <c r="AM9" s="11">
        <f t="shared" si="3"/>
        <v>0.02</v>
      </c>
      <c r="AN9" s="11">
        <f t="shared" si="3"/>
        <v>0.02</v>
      </c>
      <c r="AO9" s="11">
        <f t="shared" si="3"/>
        <v>0.02</v>
      </c>
      <c r="AP9" s="11">
        <f t="shared" si="4"/>
        <v>0.02</v>
      </c>
      <c r="AQ9" s="11">
        <f t="shared" si="4"/>
        <v>0.02</v>
      </c>
      <c r="AR9" s="11">
        <f t="shared" si="4"/>
        <v>0.02</v>
      </c>
      <c r="AS9" s="11">
        <f t="shared" si="4"/>
        <v>0.02</v>
      </c>
      <c r="AT9" s="11">
        <f t="shared" si="4"/>
        <v>0.02</v>
      </c>
    </row>
    <row r="10" spans="1:46" x14ac:dyDescent="0.35">
      <c r="B10" s="5" t="s">
        <v>5</v>
      </c>
      <c r="D10" s="12">
        <f ca="1">$R$7</f>
        <v>0.02</v>
      </c>
      <c r="E10" s="12">
        <f t="shared" ref="E10:M10" ca="1" si="11">$R$7</f>
        <v>0.02</v>
      </c>
      <c r="F10" s="12">
        <f t="shared" ca="1" si="11"/>
        <v>0.02</v>
      </c>
      <c r="G10" s="12">
        <f t="shared" ca="1" si="11"/>
        <v>0.02</v>
      </c>
      <c r="H10" s="12">
        <f t="shared" ca="1" si="11"/>
        <v>0.02</v>
      </c>
      <c r="I10" s="12">
        <f t="shared" ca="1" si="11"/>
        <v>0.02</v>
      </c>
      <c r="J10" s="12">
        <f t="shared" ca="1" si="11"/>
        <v>0.02</v>
      </c>
      <c r="K10" s="12">
        <f t="shared" ca="1" si="11"/>
        <v>0.02</v>
      </c>
      <c r="L10" s="12">
        <f t="shared" ca="1" si="11"/>
        <v>0.02</v>
      </c>
      <c r="M10" s="12">
        <f t="shared" ca="1" si="11"/>
        <v>0.02</v>
      </c>
      <c r="Q10" s="16" t="s">
        <v>98</v>
      </c>
      <c r="R10" s="63">
        <f t="shared" ca="1" si="1"/>
        <v>0.16</v>
      </c>
      <c r="S10" s="11">
        <v>0.16</v>
      </c>
      <c r="T10" s="11">
        <v>0.15</v>
      </c>
      <c r="U10" s="11">
        <v>0.15</v>
      </c>
      <c r="V10" s="12">
        <f>C20</f>
        <v>0.14341398401592018</v>
      </c>
      <c r="W10" s="12">
        <f ca="1">D20</f>
        <v>0.14507258561432815</v>
      </c>
      <c r="X10" s="11">
        <f>$S10</f>
        <v>0.16</v>
      </c>
      <c r="Y10" s="11">
        <f t="shared" si="8"/>
        <v>0.16</v>
      </c>
      <c r="Z10" s="11">
        <f t="shared" si="8"/>
        <v>0.16</v>
      </c>
      <c r="AA10" s="11">
        <f t="shared" si="8"/>
        <v>0.16</v>
      </c>
      <c r="AB10" s="11">
        <f t="shared" si="3"/>
        <v>0.16</v>
      </c>
      <c r="AC10" s="11">
        <f t="shared" si="3"/>
        <v>0.16</v>
      </c>
      <c r="AD10" s="11">
        <f t="shared" si="3"/>
        <v>0.16</v>
      </c>
      <c r="AE10" s="43">
        <v>0.18</v>
      </c>
      <c r="AF10" s="11">
        <f t="shared" si="3"/>
        <v>0.16</v>
      </c>
      <c r="AG10" s="11">
        <f t="shared" si="3"/>
        <v>0.16</v>
      </c>
      <c r="AH10" s="11">
        <f t="shared" si="3"/>
        <v>0.16</v>
      </c>
      <c r="AI10" s="11">
        <f t="shared" si="3"/>
        <v>0.16</v>
      </c>
      <c r="AJ10" s="11">
        <f t="shared" si="3"/>
        <v>0.16</v>
      </c>
      <c r="AK10" s="11">
        <f t="shared" si="3"/>
        <v>0.16</v>
      </c>
      <c r="AL10" s="11">
        <f t="shared" si="3"/>
        <v>0.16</v>
      </c>
      <c r="AM10" s="11">
        <f t="shared" si="3"/>
        <v>0.16</v>
      </c>
      <c r="AN10" s="11">
        <f t="shared" si="3"/>
        <v>0.16</v>
      </c>
      <c r="AO10" s="11">
        <f t="shared" si="3"/>
        <v>0.16</v>
      </c>
      <c r="AP10" s="11">
        <f t="shared" si="4"/>
        <v>0.16</v>
      </c>
      <c r="AQ10" s="11">
        <f t="shared" si="4"/>
        <v>0.16</v>
      </c>
      <c r="AR10" s="11">
        <f t="shared" si="4"/>
        <v>0.16</v>
      </c>
      <c r="AS10" s="11">
        <f t="shared" si="4"/>
        <v>0.16</v>
      </c>
      <c r="AT10" s="11">
        <f t="shared" si="4"/>
        <v>0.16</v>
      </c>
    </row>
    <row r="11" spans="1:46" x14ac:dyDescent="0.35">
      <c r="B11" t="s">
        <v>7</v>
      </c>
      <c r="C11" s="18">
        <v>123563</v>
      </c>
      <c r="D11" s="13">
        <f ca="1">C11*(1+D12)</f>
        <v>128505.52</v>
      </c>
      <c r="E11" s="13">
        <f t="shared" ref="E11:M11" ca="1" si="12">D11*(1+E12)</f>
        <v>133645.7408</v>
      </c>
      <c r="F11" s="13">
        <f t="shared" ca="1" si="12"/>
        <v>138991.57043200001</v>
      </c>
      <c r="G11" s="13">
        <f t="shared" ca="1" si="12"/>
        <v>144551.23324928002</v>
      </c>
      <c r="H11" s="13">
        <f t="shared" ca="1" si="12"/>
        <v>150333.28257925122</v>
      </c>
      <c r="I11" s="13">
        <f t="shared" ca="1" si="12"/>
        <v>156346.61388242128</v>
      </c>
      <c r="J11" s="13">
        <f t="shared" ca="1" si="12"/>
        <v>162600.47843771815</v>
      </c>
      <c r="K11" s="13">
        <f t="shared" ca="1" si="12"/>
        <v>169104.49757522688</v>
      </c>
      <c r="L11" s="13">
        <f t="shared" ca="1" si="12"/>
        <v>175868.67747823597</v>
      </c>
      <c r="M11" s="13">
        <f t="shared" ca="1" si="12"/>
        <v>182903.42457736543</v>
      </c>
      <c r="N11" s="76">
        <f ca="1">_xlfn.RRI(10,C11,M11)</f>
        <v>4.0000000000000036E-2</v>
      </c>
      <c r="O11" s="77"/>
      <c r="Q11" s="16" t="s">
        <v>99</v>
      </c>
      <c r="R11" s="63">
        <f t="shared" ca="1" si="1"/>
        <v>0.17</v>
      </c>
      <c r="S11" s="11">
        <v>0.17</v>
      </c>
      <c r="T11" s="11">
        <v>0.17</v>
      </c>
      <c r="U11" s="11">
        <v>0.17</v>
      </c>
      <c r="V11" s="12">
        <f>C22</f>
        <v>0.1595339024059772</v>
      </c>
      <c r="W11" s="12">
        <f ca="1">D22</f>
        <v>0.1605805121653795</v>
      </c>
      <c r="X11" s="11">
        <f t="shared" ref="X11:X13" si="13">$S11</f>
        <v>0.17</v>
      </c>
      <c r="Y11" s="11">
        <f t="shared" si="8"/>
        <v>0.17</v>
      </c>
      <c r="Z11" s="11">
        <f t="shared" si="8"/>
        <v>0.17</v>
      </c>
      <c r="AA11" s="11">
        <f t="shared" si="8"/>
        <v>0.17</v>
      </c>
      <c r="AB11" s="11">
        <f t="shared" si="3"/>
        <v>0.17</v>
      </c>
      <c r="AC11" s="11">
        <f t="shared" si="3"/>
        <v>0.17</v>
      </c>
      <c r="AD11" s="11">
        <f t="shared" si="3"/>
        <v>0.17</v>
      </c>
      <c r="AE11" s="11">
        <f t="shared" si="3"/>
        <v>0.17</v>
      </c>
      <c r="AF11" s="43">
        <v>0.19</v>
      </c>
      <c r="AG11" s="11">
        <f t="shared" si="3"/>
        <v>0.17</v>
      </c>
      <c r="AH11" s="11">
        <f t="shared" si="3"/>
        <v>0.17</v>
      </c>
      <c r="AI11" s="11">
        <f t="shared" si="3"/>
        <v>0.17</v>
      </c>
      <c r="AJ11" s="11">
        <f t="shared" si="3"/>
        <v>0.17</v>
      </c>
      <c r="AK11" s="11">
        <f t="shared" si="3"/>
        <v>0.17</v>
      </c>
      <c r="AL11" s="11">
        <f t="shared" si="3"/>
        <v>0.17</v>
      </c>
      <c r="AM11" s="11">
        <f t="shared" si="3"/>
        <v>0.17</v>
      </c>
      <c r="AN11" s="11">
        <f t="shared" si="3"/>
        <v>0.17</v>
      </c>
      <c r="AO11" s="11">
        <f t="shared" si="3"/>
        <v>0.17</v>
      </c>
      <c r="AP11" s="11">
        <f t="shared" si="4"/>
        <v>0.17</v>
      </c>
      <c r="AQ11" s="11">
        <f t="shared" si="4"/>
        <v>0.17</v>
      </c>
      <c r="AR11" s="11">
        <f t="shared" si="4"/>
        <v>0.17</v>
      </c>
      <c r="AS11" s="11">
        <f t="shared" si="4"/>
        <v>0.17</v>
      </c>
      <c r="AT11" s="11">
        <f t="shared" si="4"/>
        <v>0.17</v>
      </c>
    </row>
    <row r="12" spans="1:46" x14ac:dyDescent="0.35">
      <c r="B12" s="5" t="s">
        <v>5</v>
      </c>
      <c r="D12" s="12">
        <f ca="1">$R$8</f>
        <v>0.04</v>
      </c>
      <c r="E12" s="12">
        <f t="shared" ref="E12:M12" ca="1" si="14">$R$8</f>
        <v>0.04</v>
      </c>
      <c r="F12" s="12">
        <f t="shared" ca="1" si="14"/>
        <v>0.04</v>
      </c>
      <c r="G12" s="12">
        <f t="shared" ca="1" si="14"/>
        <v>0.04</v>
      </c>
      <c r="H12" s="12">
        <f t="shared" ca="1" si="14"/>
        <v>0.04</v>
      </c>
      <c r="I12" s="12">
        <f t="shared" ca="1" si="14"/>
        <v>0.04</v>
      </c>
      <c r="J12" s="12">
        <f t="shared" ca="1" si="14"/>
        <v>0.04</v>
      </c>
      <c r="K12" s="12">
        <f t="shared" ca="1" si="14"/>
        <v>0.04</v>
      </c>
      <c r="L12" s="12">
        <f t="shared" ca="1" si="14"/>
        <v>0.04</v>
      </c>
      <c r="M12" s="12">
        <f t="shared" ca="1" si="14"/>
        <v>0.04</v>
      </c>
      <c r="N12" s="77"/>
      <c r="O12" s="77"/>
      <c r="Q12" s="16" t="s">
        <v>16</v>
      </c>
      <c r="R12" s="63">
        <f t="shared" ca="1" si="1"/>
        <v>0.12</v>
      </c>
      <c r="S12" s="11">
        <v>0.12</v>
      </c>
      <c r="T12" s="11">
        <v>0.11</v>
      </c>
      <c r="U12" s="11">
        <v>0.11</v>
      </c>
      <c r="V12" s="12">
        <f>C24</f>
        <v>0.10280585612197826</v>
      </c>
      <c r="W12" s="12">
        <f ca="1">D24</f>
        <v>0.10452527050978043</v>
      </c>
      <c r="X12" s="11">
        <f t="shared" si="13"/>
        <v>0.12</v>
      </c>
      <c r="Y12" s="11">
        <f t="shared" si="8"/>
        <v>0.12</v>
      </c>
      <c r="Z12" s="11">
        <f t="shared" si="8"/>
        <v>0.12</v>
      </c>
      <c r="AA12" s="11">
        <f t="shared" si="8"/>
        <v>0.12</v>
      </c>
      <c r="AB12" s="11">
        <f t="shared" si="3"/>
        <v>0.12</v>
      </c>
      <c r="AC12" s="11">
        <f t="shared" si="3"/>
        <v>0.12</v>
      </c>
      <c r="AD12" s="11">
        <f t="shared" si="3"/>
        <v>0.12</v>
      </c>
      <c r="AE12" s="11">
        <f t="shared" si="3"/>
        <v>0.12</v>
      </c>
      <c r="AF12" s="11">
        <f t="shared" si="3"/>
        <v>0.12</v>
      </c>
      <c r="AG12" s="43">
        <v>0.14000000000000001</v>
      </c>
      <c r="AH12" s="11">
        <f t="shared" si="3"/>
        <v>0.12</v>
      </c>
      <c r="AI12" s="11">
        <f t="shared" si="3"/>
        <v>0.12</v>
      </c>
      <c r="AJ12" s="11">
        <f t="shared" si="3"/>
        <v>0.12</v>
      </c>
      <c r="AK12" s="11">
        <f t="shared" si="3"/>
        <v>0.12</v>
      </c>
      <c r="AL12" s="11">
        <f t="shared" si="3"/>
        <v>0.12</v>
      </c>
      <c r="AM12" s="11">
        <f t="shared" si="3"/>
        <v>0.12</v>
      </c>
      <c r="AN12" s="11">
        <f t="shared" si="3"/>
        <v>0.12</v>
      </c>
      <c r="AO12" s="11">
        <f t="shared" si="3"/>
        <v>0.12</v>
      </c>
      <c r="AP12" s="11">
        <f t="shared" si="4"/>
        <v>0.12</v>
      </c>
      <c r="AQ12" s="11">
        <f t="shared" si="4"/>
        <v>0.12</v>
      </c>
      <c r="AR12" s="11">
        <f t="shared" si="4"/>
        <v>0.12</v>
      </c>
      <c r="AS12" s="11">
        <f t="shared" si="4"/>
        <v>0.12</v>
      </c>
      <c r="AT12" s="11">
        <f t="shared" si="4"/>
        <v>0.12</v>
      </c>
    </row>
    <row r="13" spans="1:46" x14ac:dyDescent="0.35">
      <c r="B13" t="s">
        <v>100</v>
      </c>
      <c r="C13" s="18">
        <v>36802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76"/>
      <c r="O13" s="77"/>
      <c r="Q13" s="16" t="s">
        <v>101</v>
      </c>
      <c r="R13" s="63">
        <f t="shared" ca="1" si="1"/>
        <v>0</v>
      </c>
      <c r="S13" s="11">
        <v>0</v>
      </c>
      <c r="T13" s="11">
        <v>0.1</v>
      </c>
      <c r="U13" s="11">
        <v>0</v>
      </c>
      <c r="V13" s="12">
        <f>C26</f>
        <v>-2.2906363784576927E-2</v>
      </c>
      <c r="W13" s="12">
        <f ca="1">D26</f>
        <v>-2.0615727406119236E-2</v>
      </c>
      <c r="X13" s="11">
        <f t="shared" si="13"/>
        <v>0</v>
      </c>
      <c r="Y13" s="11">
        <f t="shared" si="8"/>
        <v>0</v>
      </c>
      <c r="Z13" s="11">
        <f t="shared" si="8"/>
        <v>0</v>
      </c>
      <c r="AA13" s="11">
        <f t="shared" si="8"/>
        <v>0</v>
      </c>
      <c r="AB13" s="11">
        <f t="shared" si="3"/>
        <v>0</v>
      </c>
      <c r="AC13" s="11">
        <f t="shared" si="3"/>
        <v>0</v>
      </c>
      <c r="AD13" s="11">
        <f t="shared" si="3"/>
        <v>0</v>
      </c>
      <c r="AE13" s="11">
        <f t="shared" si="3"/>
        <v>0</v>
      </c>
      <c r="AF13" s="11">
        <f t="shared" si="3"/>
        <v>0</v>
      </c>
      <c r="AG13" s="11">
        <f t="shared" si="3"/>
        <v>0</v>
      </c>
      <c r="AH13" s="43">
        <v>0.02</v>
      </c>
      <c r="AI13" s="11">
        <f t="shared" si="3"/>
        <v>0</v>
      </c>
      <c r="AJ13" s="11">
        <f t="shared" si="3"/>
        <v>0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4"/>
        <v>0</v>
      </c>
      <c r="AQ13" s="11">
        <f t="shared" si="4"/>
        <v>0</v>
      </c>
      <c r="AR13" s="11">
        <f t="shared" si="4"/>
        <v>0</v>
      </c>
      <c r="AS13" s="11">
        <f t="shared" si="4"/>
        <v>0</v>
      </c>
      <c r="AT13" s="11">
        <f t="shared" si="4"/>
        <v>0</v>
      </c>
    </row>
    <row r="14" spans="1:46" x14ac:dyDescent="0.35">
      <c r="B14" s="5" t="s">
        <v>5</v>
      </c>
      <c r="D14" s="8">
        <f ca="1">$R$9</f>
        <v>0.02</v>
      </c>
      <c r="E14" s="8">
        <f t="shared" ref="E14:M14" ca="1" si="15">$R$9</f>
        <v>0.02</v>
      </c>
      <c r="F14" s="8">
        <f t="shared" ca="1" si="15"/>
        <v>0.02</v>
      </c>
      <c r="G14" s="8">
        <f t="shared" ca="1" si="15"/>
        <v>0.02</v>
      </c>
      <c r="H14" s="8">
        <f t="shared" ca="1" si="15"/>
        <v>0.02</v>
      </c>
      <c r="I14" s="8">
        <f t="shared" ca="1" si="15"/>
        <v>0.02</v>
      </c>
      <c r="J14" s="8">
        <f t="shared" ca="1" si="15"/>
        <v>0.02</v>
      </c>
      <c r="K14" s="8">
        <f t="shared" ca="1" si="15"/>
        <v>0.02</v>
      </c>
      <c r="L14" s="8">
        <f t="shared" ca="1" si="15"/>
        <v>0.02</v>
      </c>
      <c r="M14" s="8">
        <f t="shared" ca="1" si="15"/>
        <v>0.02</v>
      </c>
      <c r="N14" s="77"/>
      <c r="O14" s="77"/>
      <c r="Q14" s="16" t="s">
        <v>19</v>
      </c>
      <c r="R14" s="63">
        <f t="shared" ca="1" si="1"/>
        <v>-1.4999999999999999E-2</v>
      </c>
      <c r="S14" s="12">
        <v>-1.4999999999999999E-2</v>
      </c>
      <c r="T14" s="11">
        <v>-0.02</v>
      </c>
      <c r="U14" s="11">
        <v>-0.02</v>
      </c>
      <c r="V14" s="12">
        <f>$C$28</f>
        <v>-2.1395385518218783E-2</v>
      </c>
      <c r="W14" s="12">
        <f t="shared" ref="W14:X14" si="16">$C$28</f>
        <v>-2.1395385518218783E-2</v>
      </c>
      <c r="X14" s="12">
        <f t="shared" si="16"/>
        <v>-2.1395385518218783E-2</v>
      </c>
      <c r="Y14" s="12">
        <f t="shared" si="8"/>
        <v>-1.4999999999999999E-2</v>
      </c>
      <c r="Z14" s="40">
        <f t="shared" si="8"/>
        <v>-1.4999999999999999E-2</v>
      </c>
      <c r="AA14" s="11">
        <f t="shared" si="8"/>
        <v>-1.4999999999999999E-2</v>
      </c>
      <c r="AB14" s="11">
        <f t="shared" si="3"/>
        <v>-1.4999999999999999E-2</v>
      </c>
      <c r="AC14" s="11">
        <f t="shared" si="3"/>
        <v>-1.4999999999999999E-2</v>
      </c>
      <c r="AD14" s="11">
        <f t="shared" si="3"/>
        <v>-1.4999999999999999E-2</v>
      </c>
      <c r="AE14" s="11">
        <f t="shared" si="3"/>
        <v>-1.4999999999999999E-2</v>
      </c>
      <c r="AF14" s="11">
        <f t="shared" si="3"/>
        <v>-1.4999999999999999E-2</v>
      </c>
      <c r="AG14" s="11">
        <f t="shared" si="3"/>
        <v>-1.4999999999999999E-2</v>
      </c>
      <c r="AH14" s="11">
        <f t="shared" si="3"/>
        <v>-1.4999999999999999E-2</v>
      </c>
      <c r="AI14" s="43">
        <v>0</v>
      </c>
      <c r="AJ14" s="11">
        <f t="shared" si="3"/>
        <v>-1.4999999999999999E-2</v>
      </c>
      <c r="AK14" s="11">
        <f t="shared" si="3"/>
        <v>-1.4999999999999999E-2</v>
      </c>
      <c r="AL14" s="11">
        <f t="shared" si="3"/>
        <v>-1.4999999999999999E-2</v>
      </c>
      <c r="AM14" s="11">
        <f t="shared" si="3"/>
        <v>-1.4999999999999999E-2</v>
      </c>
      <c r="AN14" s="11">
        <f t="shared" si="3"/>
        <v>-1.4999999999999999E-2</v>
      </c>
      <c r="AO14" s="11">
        <f t="shared" si="3"/>
        <v>-1.4999999999999999E-2</v>
      </c>
      <c r="AP14" s="11">
        <f t="shared" si="4"/>
        <v>-1.4999999999999999E-2</v>
      </c>
      <c r="AQ14" s="11">
        <f t="shared" si="4"/>
        <v>-1.4999999999999999E-2</v>
      </c>
      <c r="AR14" s="11">
        <f t="shared" si="4"/>
        <v>-1.4999999999999999E-2</v>
      </c>
      <c r="AS14" s="11">
        <f t="shared" si="4"/>
        <v>-1.4999999999999999E-2</v>
      </c>
      <c r="AT14" s="11">
        <f t="shared" si="4"/>
        <v>-1.4999999999999999E-2</v>
      </c>
    </row>
    <row r="15" spans="1:46" x14ac:dyDescent="0.35">
      <c r="B15" s="66" t="s">
        <v>9</v>
      </c>
      <c r="C15" s="71">
        <f>SUM(C7:C14)</f>
        <v>431121</v>
      </c>
      <c r="D15" s="71">
        <f t="shared" ref="D15:M15" ca="1" si="17">SUM(D7:D14)</f>
        <v>417822.38</v>
      </c>
      <c r="E15" s="71">
        <f t="shared" ca="1" si="17"/>
        <v>442946.16120000003</v>
      </c>
      <c r="F15" s="71">
        <f t="shared" ca="1" si="17"/>
        <v>469811.00055200007</v>
      </c>
      <c r="G15" s="71">
        <f t="shared" ca="1" si="17"/>
        <v>498546.69364464009</v>
      </c>
      <c r="H15" s="71">
        <f t="shared" ca="1" si="17"/>
        <v>529293.06544531533</v>
      </c>
      <c r="I15" s="71">
        <f t="shared" ca="1" si="17"/>
        <v>562200.75898562721</v>
      </c>
      <c r="J15" s="71">
        <f t="shared" ca="1" si="17"/>
        <v>597432.08660519437</v>
      </c>
      <c r="K15" s="71">
        <f t="shared" ca="1" si="17"/>
        <v>635161.94873723551</v>
      </c>
      <c r="L15" s="71">
        <f t="shared" ca="1" si="17"/>
        <v>675578.82561716205</v>
      </c>
      <c r="M15" s="71">
        <f t="shared" ca="1" si="17"/>
        <v>718885.84772504144</v>
      </c>
      <c r="N15" s="76">
        <f ca="1">_xlfn.RRI(10,C15,M15)</f>
        <v>5.2461155139087889E-2</v>
      </c>
      <c r="O15" s="77"/>
      <c r="Q15" s="16" t="s">
        <v>20</v>
      </c>
      <c r="R15" s="63">
        <f t="shared" ca="1" si="1"/>
        <v>0.01</v>
      </c>
      <c r="S15" s="11">
        <v>0.01</v>
      </c>
      <c r="T15" s="11">
        <v>0.02</v>
      </c>
      <c r="U15" s="11">
        <v>0.02</v>
      </c>
      <c r="V15" s="11">
        <v>0</v>
      </c>
      <c r="W15" s="11">
        <v>0</v>
      </c>
      <c r="X15" s="11">
        <v>0</v>
      </c>
      <c r="Y15" s="11">
        <f>$S15</f>
        <v>0.01</v>
      </c>
      <c r="Z15" s="11">
        <f>$S15</f>
        <v>0.01</v>
      </c>
      <c r="AA15" s="11">
        <f t="shared" si="8"/>
        <v>0.01</v>
      </c>
      <c r="AB15" s="11">
        <f t="shared" si="3"/>
        <v>0.01</v>
      </c>
      <c r="AC15" s="11">
        <f t="shared" si="3"/>
        <v>0.01</v>
      </c>
      <c r="AD15" s="11">
        <f t="shared" si="3"/>
        <v>0.01</v>
      </c>
      <c r="AE15" s="11">
        <f t="shared" si="3"/>
        <v>0.01</v>
      </c>
      <c r="AF15" s="11">
        <f t="shared" si="3"/>
        <v>0.01</v>
      </c>
      <c r="AG15" s="11">
        <f t="shared" si="3"/>
        <v>0.01</v>
      </c>
      <c r="AH15" s="11">
        <f t="shared" si="3"/>
        <v>0.01</v>
      </c>
      <c r="AI15" s="11">
        <f t="shared" si="3"/>
        <v>0.01</v>
      </c>
      <c r="AJ15" s="43">
        <v>0.03</v>
      </c>
      <c r="AK15" s="11">
        <f t="shared" si="3"/>
        <v>0.01</v>
      </c>
      <c r="AL15" s="11">
        <f t="shared" si="3"/>
        <v>0.01</v>
      </c>
      <c r="AM15" s="11">
        <f t="shared" si="3"/>
        <v>0.01</v>
      </c>
      <c r="AN15" s="11">
        <f t="shared" si="3"/>
        <v>0.01</v>
      </c>
      <c r="AO15" s="11">
        <f t="shared" si="3"/>
        <v>0.01</v>
      </c>
      <c r="AP15" s="11">
        <f t="shared" si="4"/>
        <v>0.01</v>
      </c>
      <c r="AQ15" s="11">
        <f t="shared" si="4"/>
        <v>0.01</v>
      </c>
      <c r="AR15" s="11">
        <f t="shared" si="4"/>
        <v>0.01</v>
      </c>
      <c r="AS15" s="11">
        <f t="shared" si="4"/>
        <v>0.01</v>
      </c>
      <c r="AT15" s="11">
        <f t="shared" si="4"/>
        <v>0.01</v>
      </c>
    </row>
    <row r="16" spans="1:46" x14ac:dyDescent="0.35">
      <c r="B16" s="5" t="s">
        <v>5</v>
      </c>
      <c r="D16" s="9">
        <f ca="1">D15/C15-1</f>
        <v>-3.084660686906926E-2</v>
      </c>
      <c r="E16" s="9">
        <f t="shared" ref="E16:M16" ca="1" si="18">E15/D15-1</f>
        <v>6.0130290770925354E-2</v>
      </c>
      <c r="F16" s="9">
        <f t="shared" ca="1" si="18"/>
        <v>6.0650349196434306E-2</v>
      </c>
      <c r="G16" s="9">
        <f t="shared" ca="1" si="18"/>
        <v>6.1164368349990283E-2</v>
      </c>
      <c r="H16" s="9">
        <f t="shared" ca="1" si="18"/>
        <v>6.1672000221088652E-2</v>
      </c>
      <c r="I16" s="9">
        <f t="shared" ca="1" si="18"/>
        <v>6.2172916459098726E-2</v>
      </c>
      <c r="J16" s="9">
        <f t="shared" ca="1" si="18"/>
        <v>6.2666809065029749E-2</v>
      </c>
      <c r="K16" s="9">
        <f t="shared" ca="1" si="18"/>
        <v>6.3153390950986044E-2</v>
      </c>
      <c r="L16" s="9">
        <f t="shared" ca="1" si="18"/>
        <v>6.3632396368011657E-2</v>
      </c>
      <c r="M16" s="9">
        <f t="shared" ca="1" si="18"/>
        <v>6.4103581204335569E-2</v>
      </c>
      <c r="N16" s="77"/>
      <c r="O16" s="77"/>
      <c r="Q16" s="16" t="s">
        <v>21</v>
      </c>
      <c r="R16" s="64">
        <f t="shared" ca="1" si="1"/>
        <v>2.2049494225519054E-2</v>
      </c>
      <c r="S16" s="8">
        <f t="shared" ref="S16:X17" si="19">$C$34/$C$15</f>
        <v>2.2049494225519054E-2</v>
      </c>
      <c r="T16" s="8">
        <f t="shared" si="19"/>
        <v>2.2049494225519054E-2</v>
      </c>
      <c r="U16" s="8">
        <f t="shared" si="19"/>
        <v>2.2049494225519054E-2</v>
      </c>
      <c r="V16" s="8">
        <f t="shared" si="19"/>
        <v>2.2049494225519054E-2</v>
      </c>
      <c r="W16" s="8">
        <f t="shared" si="19"/>
        <v>2.2049494225519054E-2</v>
      </c>
      <c r="X16" s="8">
        <f t="shared" si="19"/>
        <v>2.2049494225519054E-2</v>
      </c>
      <c r="Y16" s="12">
        <f>$S16</f>
        <v>2.2049494225519054E-2</v>
      </c>
      <c r="Z16" s="12">
        <f>Y16</f>
        <v>2.2049494225519054E-2</v>
      </c>
      <c r="AA16" s="8">
        <f t="shared" si="8"/>
        <v>2.2049494225519054E-2</v>
      </c>
      <c r="AB16" s="8">
        <f t="shared" si="3"/>
        <v>2.2049494225519054E-2</v>
      </c>
      <c r="AC16" s="8">
        <f t="shared" si="3"/>
        <v>2.2049494225519054E-2</v>
      </c>
      <c r="AD16" s="8">
        <f t="shared" si="3"/>
        <v>2.2049494225519054E-2</v>
      </c>
      <c r="AE16" s="8">
        <f t="shared" si="3"/>
        <v>2.2049494225519054E-2</v>
      </c>
      <c r="AF16" s="8">
        <f t="shared" si="3"/>
        <v>2.2049494225519054E-2</v>
      </c>
      <c r="AG16" s="8">
        <f t="shared" si="3"/>
        <v>2.2049494225519054E-2</v>
      </c>
      <c r="AH16" s="8">
        <f t="shared" si="3"/>
        <v>2.2049494225519054E-2</v>
      </c>
      <c r="AI16" s="8">
        <f t="shared" si="3"/>
        <v>2.2049494225519054E-2</v>
      </c>
      <c r="AJ16" s="8">
        <f t="shared" si="3"/>
        <v>2.2049494225519054E-2</v>
      </c>
      <c r="AK16" s="44">
        <v>0.04</v>
      </c>
      <c r="AL16" s="8">
        <f t="shared" si="3"/>
        <v>2.2049494225519054E-2</v>
      </c>
      <c r="AM16" s="8">
        <f t="shared" si="3"/>
        <v>2.2049494225519054E-2</v>
      </c>
      <c r="AN16" s="8">
        <f t="shared" si="3"/>
        <v>2.2049494225519054E-2</v>
      </c>
      <c r="AO16" s="8">
        <f t="shared" si="3"/>
        <v>2.2049494225519054E-2</v>
      </c>
      <c r="AP16" s="8">
        <f t="shared" si="4"/>
        <v>2.2049494225519054E-2</v>
      </c>
      <c r="AQ16" s="8">
        <f t="shared" si="4"/>
        <v>2.2049494225519054E-2</v>
      </c>
      <c r="AR16" s="8">
        <f t="shared" si="4"/>
        <v>2.2049494225519054E-2</v>
      </c>
      <c r="AS16" s="8">
        <f t="shared" si="4"/>
        <v>2.2049494225519054E-2</v>
      </c>
      <c r="AT16" s="8">
        <f t="shared" si="4"/>
        <v>2.2049494225519054E-2</v>
      </c>
    </row>
    <row r="17" spans="1:46" x14ac:dyDescent="0.35">
      <c r="Q17" s="16" t="s">
        <v>23</v>
      </c>
      <c r="R17" s="64">
        <f t="shared" ca="1" si="1"/>
        <v>2.2049494225519054E-2</v>
      </c>
      <c r="S17" s="8">
        <f t="shared" si="19"/>
        <v>2.2049494225519054E-2</v>
      </c>
      <c r="T17" s="8">
        <f t="shared" si="19"/>
        <v>2.2049494225519054E-2</v>
      </c>
      <c r="U17" s="8">
        <f t="shared" si="19"/>
        <v>2.2049494225519054E-2</v>
      </c>
      <c r="V17" s="8">
        <f t="shared" si="19"/>
        <v>2.2049494225519054E-2</v>
      </c>
      <c r="W17" s="8">
        <f t="shared" si="19"/>
        <v>2.2049494225519054E-2</v>
      </c>
      <c r="X17" s="8">
        <f t="shared" si="19"/>
        <v>2.2049494225519054E-2</v>
      </c>
      <c r="Y17" s="12">
        <f t="shared" ref="Y17:Y23" si="20">$S17</f>
        <v>2.2049494225519054E-2</v>
      </c>
      <c r="Z17" s="12">
        <f t="shared" ref="Z17:Z23" si="21">Y17</f>
        <v>2.2049494225519054E-2</v>
      </c>
      <c r="AA17" s="8">
        <f t="shared" si="8"/>
        <v>2.2049494225519054E-2</v>
      </c>
      <c r="AB17" s="8">
        <f t="shared" si="3"/>
        <v>2.2049494225519054E-2</v>
      </c>
      <c r="AC17" s="8">
        <f t="shared" si="3"/>
        <v>2.2049494225519054E-2</v>
      </c>
      <c r="AD17" s="8">
        <f t="shared" si="3"/>
        <v>2.2049494225519054E-2</v>
      </c>
      <c r="AE17" s="8">
        <f t="shared" si="3"/>
        <v>2.2049494225519054E-2</v>
      </c>
      <c r="AF17" s="8">
        <f t="shared" si="3"/>
        <v>2.2049494225519054E-2</v>
      </c>
      <c r="AG17" s="8">
        <f t="shared" si="3"/>
        <v>2.2049494225519054E-2</v>
      </c>
      <c r="AH17" s="8">
        <f t="shared" si="3"/>
        <v>2.2049494225519054E-2</v>
      </c>
      <c r="AI17" s="8">
        <f t="shared" si="3"/>
        <v>2.2049494225519054E-2</v>
      </c>
      <c r="AJ17" s="8">
        <f t="shared" si="3"/>
        <v>2.2049494225519054E-2</v>
      </c>
      <c r="AK17" s="8">
        <f t="shared" si="3"/>
        <v>2.2049494225519054E-2</v>
      </c>
      <c r="AL17" s="44">
        <v>0.04</v>
      </c>
      <c r="AM17" s="8">
        <f t="shared" si="3"/>
        <v>2.2049494225519054E-2</v>
      </c>
      <c r="AN17" s="8">
        <f t="shared" si="3"/>
        <v>2.2049494225519054E-2</v>
      </c>
      <c r="AO17" s="8">
        <f t="shared" si="3"/>
        <v>2.2049494225519054E-2</v>
      </c>
      <c r="AP17" s="8">
        <f t="shared" si="4"/>
        <v>2.2049494225519054E-2</v>
      </c>
      <c r="AQ17" s="8">
        <f t="shared" si="4"/>
        <v>2.2049494225519054E-2</v>
      </c>
      <c r="AR17" s="8">
        <f t="shared" si="4"/>
        <v>2.2049494225519054E-2</v>
      </c>
      <c r="AS17" s="8">
        <f t="shared" si="4"/>
        <v>2.2049494225519054E-2</v>
      </c>
      <c r="AT17" s="8">
        <f t="shared" si="4"/>
        <v>2.2049494225519054E-2</v>
      </c>
    </row>
    <row r="18" spans="1:46" x14ac:dyDescent="0.35">
      <c r="A18" t="s">
        <v>0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Q18" s="16" t="s">
        <v>47</v>
      </c>
      <c r="R18" s="65">
        <f t="shared" ca="1" si="1"/>
        <v>35</v>
      </c>
      <c r="S18" s="13">
        <v>35</v>
      </c>
      <c r="T18" s="13">
        <v>35</v>
      </c>
      <c r="U18" s="13">
        <v>35</v>
      </c>
      <c r="V18" s="13">
        <v>39</v>
      </c>
      <c r="W18" s="13">
        <v>39</v>
      </c>
      <c r="X18" s="13">
        <v>39</v>
      </c>
      <c r="Y18" s="13">
        <f t="shared" si="20"/>
        <v>35</v>
      </c>
      <c r="Z18" s="13">
        <f t="shared" si="21"/>
        <v>35</v>
      </c>
      <c r="AA18" s="13">
        <f t="shared" si="8"/>
        <v>35</v>
      </c>
      <c r="AB18" s="13">
        <f t="shared" si="3"/>
        <v>35</v>
      </c>
      <c r="AC18" s="13">
        <f t="shared" si="3"/>
        <v>35</v>
      </c>
      <c r="AD18" s="13">
        <f t="shared" si="3"/>
        <v>35</v>
      </c>
      <c r="AE18" s="13">
        <f t="shared" si="3"/>
        <v>35</v>
      </c>
      <c r="AF18" s="13">
        <f t="shared" si="3"/>
        <v>35</v>
      </c>
      <c r="AG18" s="13">
        <f t="shared" si="3"/>
        <v>35</v>
      </c>
      <c r="AH18" s="13">
        <f t="shared" si="3"/>
        <v>35</v>
      </c>
      <c r="AI18" s="13">
        <f t="shared" si="3"/>
        <v>35</v>
      </c>
      <c r="AJ18" s="13">
        <f t="shared" si="3"/>
        <v>35</v>
      </c>
      <c r="AK18" s="13">
        <f t="shared" si="3"/>
        <v>35</v>
      </c>
      <c r="AL18" s="13">
        <f t="shared" si="3"/>
        <v>35</v>
      </c>
      <c r="AM18" s="34">
        <v>37</v>
      </c>
      <c r="AN18" s="13">
        <f t="shared" si="3"/>
        <v>35</v>
      </c>
      <c r="AO18" s="13">
        <f t="shared" si="3"/>
        <v>35</v>
      </c>
      <c r="AP18" s="13">
        <f t="shared" si="4"/>
        <v>35</v>
      </c>
      <c r="AQ18" s="13">
        <f t="shared" si="4"/>
        <v>35</v>
      </c>
      <c r="AR18" s="13">
        <f t="shared" si="4"/>
        <v>35</v>
      </c>
      <c r="AS18" s="13">
        <f t="shared" si="4"/>
        <v>35</v>
      </c>
      <c r="AT18" s="13">
        <f t="shared" si="4"/>
        <v>35</v>
      </c>
    </row>
    <row r="19" spans="1:46" x14ac:dyDescent="0.35">
      <c r="B19" t="s">
        <v>93</v>
      </c>
      <c r="C19" s="18">
        <v>31421</v>
      </c>
      <c r="D19" s="19">
        <f ca="1">D20*D7</f>
        <v>34327.139039999995</v>
      </c>
      <c r="E19" s="19">
        <f t="shared" ref="E19:M19" ca="1" si="22">E20*E7</f>
        <v>37497.165926399997</v>
      </c>
      <c r="F19" s="19">
        <f t="shared" ca="1" si="22"/>
        <v>40954.703424767991</v>
      </c>
      <c r="G19" s="19">
        <f t="shared" ca="1" si="22"/>
        <v>44725.465060945906</v>
      </c>
      <c r="H19" s="19">
        <f t="shared" ca="1" si="22"/>
        <v>48837.438456993776</v>
      </c>
      <c r="I19" s="19">
        <f t="shared" ca="1" si="22"/>
        <v>53321.084620019254</v>
      </c>
      <c r="J19" s="19">
        <f t="shared" ca="1" si="22"/>
        <v>58209.554563004043</v>
      </c>
      <c r="K19" s="19">
        <f t="shared" ca="1" si="22"/>
        <v>63538.924755298285</v>
      </c>
      <c r="L19" s="19">
        <f t="shared" ca="1" si="22"/>
        <v>69348.453029156371</v>
      </c>
      <c r="M19" s="19">
        <f t="shared" ca="1" si="22"/>
        <v>75680.8567083979</v>
      </c>
      <c r="Q19" s="16" t="s">
        <v>49</v>
      </c>
      <c r="R19" s="65">
        <f t="shared" ca="1" si="1"/>
        <v>40</v>
      </c>
      <c r="S19" s="13">
        <v>40</v>
      </c>
      <c r="T19" s="13">
        <v>40</v>
      </c>
      <c r="U19" s="13">
        <v>40</v>
      </c>
      <c r="V19" s="13">
        <v>61</v>
      </c>
      <c r="W19" s="13">
        <v>61</v>
      </c>
      <c r="X19" s="13">
        <v>61</v>
      </c>
      <c r="Y19" s="13">
        <f t="shared" si="20"/>
        <v>40</v>
      </c>
      <c r="Z19" s="13">
        <f t="shared" si="21"/>
        <v>40</v>
      </c>
      <c r="AA19" s="13">
        <f t="shared" si="8"/>
        <v>40</v>
      </c>
      <c r="AB19" s="13">
        <f t="shared" si="3"/>
        <v>40</v>
      </c>
      <c r="AC19" s="13">
        <f t="shared" si="3"/>
        <v>40</v>
      </c>
      <c r="AD19" s="13">
        <f t="shared" si="3"/>
        <v>40</v>
      </c>
      <c r="AE19" s="13">
        <f t="shared" si="3"/>
        <v>40</v>
      </c>
      <c r="AF19" s="13">
        <f t="shared" si="3"/>
        <v>40</v>
      </c>
      <c r="AG19" s="13">
        <f t="shared" si="3"/>
        <v>40</v>
      </c>
      <c r="AH19" s="13">
        <f t="shared" si="3"/>
        <v>40</v>
      </c>
      <c r="AI19" s="13">
        <f t="shared" si="3"/>
        <v>40</v>
      </c>
      <c r="AJ19" s="13">
        <f t="shared" si="3"/>
        <v>40</v>
      </c>
      <c r="AK19" s="13">
        <f t="shared" si="3"/>
        <v>40</v>
      </c>
      <c r="AL19" s="13">
        <f t="shared" si="3"/>
        <v>40</v>
      </c>
      <c r="AM19" s="13">
        <f t="shared" si="3"/>
        <v>40</v>
      </c>
      <c r="AN19" s="34">
        <v>42</v>
      </c>
      <c r="AO19" s="13">
        <f t="shared" si="3"/>
        <v>40</v>
      </c>
      <c r="AP19" s="13">
        <f t="shared" si="4"/>
        <v>40</v>
      </c>
      <c r="AQ19" s="13">
        <f t="shared" si="4"/>
        <v>40</v>
      </c>
      <c r="AR19" s="13">
        <f t="shared" si="4"/>
        <v>40</v>
      </c>
      <c r="AS19" s="13">
        <f t="shared" si="4"/>
        <v>40</v>
      </c>
      <c r="AT19" s="13">
        <f t="shared" si="4"/>
        <v>40</v>
      </c>
    </row>
    <row r="20" spans="1:46" x14ac:dyDescent="0.35">
      <c r="B20" s="5" t="s">
        <v>98</v>
      </c>
      <c r="C20" s="9">
        <f>C19/C7</f>
        <v>0.14341398401592018</v>
      </c>
      <c r="D20" s="8">
        <f ca="1">C20+($M20-$C20)/10</f>
        <v>0.14507258561432815</v>
      </c>
      <c r="E20" s="8">
        <f t="shared" ref="E20:L26" ca="1" si="23">D20+($M20-$C20)/10</f>
        <v>0.14673118721273612</v>
      </c>
      <c r="F20" s="8">
        <f t="shared" ca="1" si="23"/>
        <v>0.14838978881114409</v>
      </c>
      <c r="G20" s="8">
        <f t="shared" ca="1" si="23"/>
        <v>0.15004839040955206</v>
      </c>
      <c r="H20" s="8">
        <f t="shared" ca="1" si="23"/>
        <v>0.15170699200796003</v>
      </c>
      <c r="I20" s="8">
        <f t="shared" ca="1" si="23"/>
        <v>0.15336559360636801</v>
      </c>
      <c r="J20" s="8">
        <f t="shared" ca="1" si="23"/>
        <v>0.15502419520477598</v>
      </c>
      <c r="K20" s="8">
        <f t="shared" ca="1" si="23"/>
        <v>0.15668279680318395</v>
      </c>
      <c r="L20" s="8">
        <f t="shared" ca="1" si="23"/>
        <v>0.15834139840159192</v>
      </c>
      <c r="M20" s="8">
        <f ca="1">R10</f>
        <v>0.16</v>
      </c>
      <c r="Q20" s="16" t="s">
        <v>53</v>
      </c>
      <c r="R20" s="65">
        <f t="shared" ca="1" si="1"/>
        <v>17</v>
      </c>
      <c r="S20" s="13">
        <v>17</v>
      </c>
      <c r="T20" s="13">
        <v>17</v>
      </c>
      <c r="U20" s="13">
        <v>17</v>
      </c>
      <c r="V20" s="13">
        <v>14</v>
      </c>
      <c r="W20" s="13">
        <v>14</v>
      </c>
      <c r="X20" s="13">
        <v>14</v>
      </c>
      <c r="Y20" s="13">
        <f t="shared" si="20"/>
        <v>17</v>
      </c>
      <c r="Z20" s="13">
        <f t="shared" si="21"/>
        <v>17</v>
      </c>
      <c r="AA20" s="13">
        <f t="shared" si="8"/>
        <v>17</v>
      </c>
      <c r="AB20" s="13">
        <f t="shared" si="3"/>
        <v>17</v>
      </c>
      <c r="AC20" s="13">
        <f t="shared" si="3"/>
        <v>17</v>
      </c>
      <c r="AD20" s="13">
        <f t="shared" si="3"/>
        <v>17</v>
      </c>
      <c r="AE20" s="13">
        <f t="shared" si="3"/>
        <v>17</v>
      </c>
      <c r="AF20" s="13">
        <f t="shared" si="3"/>
        <v>17</v>
      </c>
      <c r="AG20" s="13">
        <f t="shared" si="3"/>
        <v>17</v>
      </c>
      <c r="AH20" s="13">
        <f t="shared" si="3"/>
        <v>17</v>
      </c>
      <c r="AI20" s="13">
        <f t="shared" si="3"/>
        <v>17</v>
      </c>
      <c r="AJ20" s="13">
        <f t="shared" si="3"/>
        <v>17</v>
      </c>
      <c r="AK20" s="13">
        <f t="shared" si="3"/>
        <v>17</v>
      </c>
      <c r="AL20" s="13">
        <f t="shared" si="3"/>
        <v>17</v>
      </c>
      <c r="AM20" s="13">
        <f t="shared" si="3"/>
        <v>17</v>
      </c>
      <c r="AN20" s="13">
        <f t="shared" si="3"/>
        <v>17</v>
      </c>
      <c r="AO20" s="34">
        <v>19</v>
      </c>
      <c r="AP20" s="45">
        <f t="shared" si="4"/>
        <v>17</v>
      </c>
      <c r="AQ20" s="45">
        <f t="shared" si="4"/>
        <v>17</v>
      </c>
      <c r="AR20" s="45">
        <f t="shared" si="4"/>
        <v>17</v>
      </c>
      <c r="AS20" s="45">
        <f t="shared" si="4"/>
        <v>17</v>
      </c>
      <c r="AT20" s="45">
        <f t="shared" si="4"/>
        <v>17</v>
      </c>
    </row>
    <row r="21" spans="1:46" x14ac:dyDescent="0.35">
      <c r="B21" t="s">
        <v>96</v>
      </c>
      <c r="C21" s="18">
        <v>8242</v>
      </c>
      <c r="D21" s="19">
        <f ca="1">D22*D9</f>
        <v>8461.9924200000005</v>
      </c>
      <c r="E21" s="19">
        <f t="shared" ref="E21" ca="1" si="24">E22*E9</f>
        <v>8687.4877368000016</v>
      </c>
      <c r="F21" s="19">
        <f t="shared" ref="F21" ca="1" si="25">F22*F9</f>
        <v>8918.6180693040023</v>
      </c>
      <c r="G21" s="19">
        <f t="shared" ref="G21" ca="1" si="26">G22*G9</f>
        <v>9155.5186200134431</v>
      </c>
      <c r="H21" s="19">
        <f t="shared" ref="H21" ca="1" si="27">H22*H9</f>
        <v>9398.3277455235402</v>
      </c>
      <c r="I21" s="19">
        <f t="shared" ref="I21" ca="1" si="28">I22*I9</f>
        <v>9647.1870286060366</v>
      </c>
      <c r="J21" s="19">
        <f t="shared" ref="J21" ca="1" si="29">J22*J9</f>
        <v>9902.2413519136226</v>
      </c>
      <c r="K21" s="19">
        <f t="shared" ref="K21" ca="1" si="30">K22*K9</f>
        <v>10163.638973342071</v>
      </c>
      <c r="L21" s="19">
        <f t="shared" ref="L21" ca="1" si="31">L22*L9</f>
        <v>10431.531603086891</v>
      </c>
      <c r="M21" s="19">
        <f t="shared" ref="M21" ca="1" si="32">M22*M9</f>
        <v>10706.074482432157</v>
      </c>
      <c r="Q21" s="16" t="s">
        <v>24</v>
      </c>
      <c r="R21" s="63">
        <f ca="1">OFFSET(R21,,$R$4)</f>
        <v>7</v>
      </c>
      <c r="S21" s="13">
        <v>7</v>
      </c>
      <c r="T21" s="13">
        <v>7</v>
      </c>
      <c r="U21" s="13">
        <v>7</v>
      </c>
      <c r="V21" s="13">
        <v>7</v>
      </c>
      <c r="W21" s="13">
        <v>7</v>
      </c>
      <c r="X21" s="13">
        <v>7</v>
      </c>
      <c r="Y21" s="13">
        <f t="shared" si="20"/>
        <v>7</v>
      </c>
      <c r="Z21" s="13">
        <f t="shared" si="21"/>
        <v>7</v>
      </c>
      <c r="AA21" s="13">
        <f t="shared" si="8"/>
        <v>7</v>
      </c>
      <c r="AB21" s="13">
        <f t="shared" si="3"/>
        <v>7</v>
      </c>
      <c r="AC21" s="13">
        <f t="shared" si="3"/>
        <v>7</v>
      </c>
      <c r="AD21" s="13">
        <f t="shared" si="3"/>
        <v>7</v>
      </c>
      <c r="AE21" s="13">
        <f t="shared" si="3"/>
        <v>7</v>
      </c>
      <c r="AF21" s="13">
        <f t="shared" si="3"/>
        <v>7</v>
      </c>
      <c r="AG21" s="13">
        <f t="shared" si="3"/>
        <v>7</v>
      </c>
      <c r="AH21" s="13">
        <f t="shared" si="3"/>
        <v>7</v>
      </c>
      <c r="AI21" s="13">
        <f t="shared" si="3"/>
        <v>7</v>
      </c>
      <c r="AJ21" s="13">
        <f t="shared" si="3"/>
        <v>7</v>
      </c>
      <c r="AK21" s="13">
        <f t="shared" si="3"/>
        <v>7</v>
      </c>
      <c r="AL21" s="13">
        <f t="shared" si="3"/>
        <v>7</v>
      </c>
      <c r="AM21" s="13">
        <f t="shared" si="3"/>
        <v>7</v>
      </c>
      <c r="AN21" s="13">
        <f t="shared" si="3"/>
        <v>7</v>
      </c>
      <c r="AO21" s="13">
        <f t="shared" si="3"/>
        <v>7</v>
      </c>
      <c r="AP21" s="34">
        <v>8</v>
      </c>
      <c r="AQ21" s="13">
        <f t="shared" si="4"/>
        <v>7</v>
      </c>
      <c r="AR21" s="13">
        <f t="shared" si="4"/>
        <v>7</v>
      </c>
      <c r="AS21" s="13">
        <f t="shared" si="4"/>
        <v>7</v>
      </c>
      <c r="AT21" s="13">
        <f t="shared" si="4"/>
        <v>7</v>
      </c>
    </row>
    <row r="22" spans="1:46" x14ac:dyDescent="0.35">
      <c r="B22" s="5" t="s">
        <v>99</v>
      </c>
      <c r="C22" s="9">
        <f>C21/C9</f>
        <v>0.1595339024059772</v>
      </c>
      <c r="D22" s="8">
        <f ca="1">C22+($M22-$C22)/10</f>
        <v>0.1605805121653795</v>
      </c>
      <c r="E22" s="8">
        <f t="shared" ca="1" si="23"/>
        <v>0.16162712192478179</v>
      </c>
      <c r="F22" s="8">
        <f t="shared" ca="1" si="23"/>
        <v>0.16267373168418409</v>
      </c>
      <c r="G22" s="8">
        <f t="shared" ca="1" si="23"/>
        <v>0.16372034144358638</v>
      </c>
      <c r="H22" s="8">
        <f t="shared" ca="1" si="23"/>
        <v>0.16476695120298868</v>
      </c>
      <c r="I22" s="8">
        <f t="shared" ca="1" si="23"/>
        <v>0.16581356096239097</v>
      </c>
      <c r="J22" s="8">
        <f t="shared" ca="1" si="23"/>
        <v>0.16686017072179327</v>
      </c>
      <c r="K22" s="8">
        <f t="shared" ca="1" si="23"/>
        <v>0.16790678048119556</v>
      </c>
      <c r="L22" s="8">
        <f t="shared" ca="1" si="23"/>
        <v>0.16895339024059786</v>
      </c>
      <c r="M22" s="12">
        <f ca="1">R11</f>
        <v>0.17</v>
      </c>
      <c r="Q22" s="16" t="s">
        <v>25</v>
      </c>
      <c r="R22" s="63">
        <f ca="1">OFFSET(R22,,$R$4)</f>
        <v>6</v>
      </c>
      <c r="S22" s="13">
        <v>6</v>
      </c>
      <c r="T22" s="13">
        <v>6</v>
      </c>
      <c r="U22" s="13">
        <v>6</v>
      </c>
      <c r="V22" s="13">
        <v>6</v>
      </c>
      <c r="W22" s="13">
        <v>6</v>
      </c>
      <c r="X22" s="13">
        <v>6</v>
      </c>
      <c r="Y22" s="13">
        <f t="shared" si="20"/>
        <v>6</v>
      </c>
      <c r="Z22" s="13">
        <f t="shared" si="21"/>
        <v>6</v>
      </c>
      <c r="AA22" s="13">
        <f t="shared" si="8"/>
        <v>6</v>
      </c>
      <c r="AB22" s="13">
        <f t="shared" ref="AB22:AS23" si="33">$S22</f>
        <v>6</v>
      </c>
      <c r="AC22" s="13">
        <f t="shared" si="33"/>
        <v>6</v>
      </c>
      <c r="AD22" s="13">
        <f t="shared" si="33"/>
        <v>6</v>
      </c>
      <c r="AE22" s="13">
        <f t="shared" si="33"/>
        <v>6</v>
      </c>
      <c r="AF22" s="13">
        <f t="shared" si="33"/>
        <v>6</v>
      </c>
      <c r="AG22" s="13">
        <f t="shared" si="33"/>
        <v>6</v>
      </c>
      <c r="AH22" s="13">
        <f t="shared" si="33"/>
        <v>6</v>
      </c>
      <c r="AI22" s="13">
        <f t="shared" si="33"/>
        <v>6</v>
      </c>
      <c r="AJ22" s="13">
        <f t="shared" si="33"/>
        <v>6</v>
      </c>
      <c r="AK22" s="13">
        <f t="shared" si="33"/>
        <v>6</v>
      </c>
      <c r="AL22" s="13">
        <f t="shared" si="33"/>
        <v>6</v>
      </c>
      <c r="AM22" s="13">
        <f t="shared" si="33"/>
        <v>6</v>
      </c>
      <c r="AN22" s="13">
        <f t="shared" si="33"/>
        <v>6</v>
      </c>
      <c r="AO22" s="13">
        <f t="shared" si="33"/>
        <v>6</v>
      </c>
      <c r="AP22" s="13">
        <f t="shared" si="33"/>
        <v>6</v>
      </c>
      <c r="AQ22" s="34">
        <v>5</v>
      </c>
      <c r="AR22" s="13">
        <f t="shared" si="33"/>
        <v>6</v>
      </c>
      <c r="AS22" s="13">
        <f t="shared" si="33"/>
        <v>6</v>
      </c>
      <c r="AT22" s="13">
        <f t="shared" ref="AP22:AT25" si="34">$S22</f>
        <v>6</v>
      </c>
    </row>
    <row r="23" spans="1:46" x14ac:dyDescent="0.35">
      <c r="B23" t="s">
        <v>7</v>
      </c>
      <c r="C23" s="18">
        <v>12703</v>
      </c>
      <c r="D23" s="19">
        <f ca="1">D24*D11</f>
        <v>13432.07424</v>
      </c>
      <c r="E23" s="19">
        <f t="shared" ref="E23" ca="1" si="35">E24*E11</f>
        <v>14199.149619199998</v>
      </c>
      <c r="F23" s="19">
        <f t="shared" ref="F23" ca="1" si="36">F24*F11</f>
        <v>15006.099709951999</v>
      </c>
      <c r="G23" s="19">
        <f t="shared" ref="G23" ca="1" si="37">G24*G11</f>
        <v>15854.887168573439</v>
      </c>
      <c r="H23" s="19">
        <f t="shared" ref="H23" ca="1" si="38">H24*H11</f>
        <v>16747.567864348668</v>
      </c>
      <c r="I23" s="19">
        <f t="shared" ref="I23" ca="1" si="39">I24*I11</f>
        <v>17686.295196316205</v>
      </c>
      <c r="J23" s="19">
        <f t="shared" ref="J23" ca="1" si="40">J24*J11</f>
        <v>18673.324606258182</v>
      </c>
      <c r="K23" s="19">
        <f t="shared" ref="K23" ca="1" si="41">K24*K11</f>
        <v>19711.01829668141</v>
      </c>
      <c r="L23" s="19">
        <f t="shared" ref="L23" ca="1" si="42">L24*L11</f>
        <v>20801.850162968487</v>
      </c>
      <c r="M23" s="19">
        <f t="shared" ref="M23" ca="1" si="43">M24*M11</f>
        <v>21948.410949283851</v>
      </c>
      <c r="Q23" s="16" t="s">
        <v>26</v>
      </c>
      <c r="R23" s="64">
        <f ca="1">OFFSET(R23,,$R$4)</f>
        <v>0.09</v>
      </c>
      <c r="S23" s="8">
        <v>0.09</v>
      </c>
      <c r="T23" s="8">
        <v>0.09</v>
      </c>
      <c r="U23" s="8">
        <v>0.09</v>
      </c>
      <c r="V23" s="8">
        <v>0.09</v>
      </c>
      <c r="W23" s="8">
        <v>0.09</v>
      </c>
      <c r="X23" s="8">
        <v>0.09</v>
      </c>
      <c r="Y23" s="8">
        <f t="shared" si="20"/>
        <v>0.09</v>
      </c>
      <c r="Z23" s="8">
        <f t="shared" si="21"/>
        <v>0.09</v>
      </c>
      <c r="AA23" s="8">
        <f t="shared" ref="AA23:AP25" si="44">$S23</f>
        <v>0.09</v>
      </c>
      <c r="AB23" s="8">
        <f t="shared" si="44"/>
        <v>0.09</v>
      </c>
      <c r="AC23" s="8">
        <f t="shared" si="44"/>
        <v>0.09</v>
      </c>
      <c r="AD23" s="8">
        <f t="shared" si="44"/>
        <v>0.09</v>
      </c>
      <c r="AE23" s="8">
        <f t="shared" si="44"/>
        <v>0.09</v>
      </c>
      <c r="AF23" s="8">
        <f t="shared" si="44"/>
        <v>0.09</v>
      </c>
      <c r="AG23" s="8">
        <f t="shared" si="44"/>
        <v>0.09</v>
      </c>
      <c r="AH23" s="8">
        <f t="shared" si="44"/>
        <v>0.09</v>
      </c>
      <c r="AI23" s="8">
        <f t="shared" si="44"/>
        <v>0.09</v>
      </c>
      <c r="AJ23" s="8">
        <f t="shared" si="44"/>
        <v>0.09</v>
      </c>
      <c r="AK23" s="8">
        <f t="shared" si="44"/>
        <v>0.09</v>
      </c>
      <c r="AL23" s="8">
        <f t="shared" si="44"/>
        <v>0.09</v>
      </c>
      <c r="AM23" s="8">
        <f t="shared" si="44"/>
        <v>0.09</v>
      </c>
      <c r="AN23" s="8">
        <f t="shared" si="44"/>
        <v>0.09</v>
      </c>
      <c r="AO23" s="8">
        <f t="shared" si="44"/>
        <v>0.09</v>
      </c>
      <c r="AP23" s="8">
        <f t="shared" si="44"/>
        <v>0.09</v>
      </c>
      <c r="AQ23" s="8">
        <f t="shared" si="33"/>
        <v>0.09</v>
      </c>
      <c r="AR23" s="44">
        <v>0.11</v>
      </c>
      <c r="AS23" s="8">
        <f t="shared" si="33"/>
        <v>0.09</v>
      </c>
      <c r="AT23" s="8">
        <f t="shared" si="34"/>
        <v>0.09</v>
      </c>
    </row>
    <row r="24" spans="1:46" x14ac:dyDescent="0.35">
      <c r="B24" s="5" t="s">
        <v>16</v>
      </c>
      <c r="C24" s="9">
        <f>C23/C11</f>
        <v>0.10280585612197826</v>
      </c>
      <c r="D24" s="8">
        <f ca="1">C24+($M24-$C24)/10</f>
        <v>0.10452527050978043</v>
      </c>
      <c r="E24" s="8">
        <f t="shared" ca="1" si="23"/>
        <v>0.1062446848975826</v>
      </c>
      <c r="F24" s="8">
        <f t="shared" ca="1" si="23"/>
        <v>0.10796409928538477</v>
      </c>
      <c r="G24" s="8">
        <f t="shared" ca="1" si="23"/>
        <v>0.10968351367318693</v>
      </c>
      <c r="H24" s="8">
        <f t="shared" ca="1" si="23"/>
        <v>0.1114029280609891</v>
      </c>
      <c r="I24" s="8">
        <f t="shared" ca="1" si="23"/>
        <v>0.11312234244879127</v>
      </c>
      <c r="J24" s="8">
        <f t="shared" ca="1" si="23"/>
        <v>0.11484175683659344</v>
      </c>
      <c r="K24" s="8">
        <f t="shared" ca="1" si="23"/>
        <v>0.1165611712243956</v>
      </c>
      <c r="L24" s="8">
        <f t="shared" ca="1" si="23"/>
        <v>0.11828058561219777</v>
      </c>
      <c r="M24" s="12">
        <f ca="1">R12</f>
        <v>0.12</v>
      </c>
      <c r="Q24" s="16" t="s">
        <v>27</v>
      </c>
      <c r="R24" s="63">
        <f ca="1">OFFSET(R24,,$R$4)</f>
        <v>6</v>
      </c>
      <c r="S24" s="13">
        <v>6</v>
      </c>
      <c r="T24" s="13">
        <v>6</v>
      </c>
      <c r="U24" s="13">
        <v>6</v>
      </c>
      <c r="V24" s="13">
        <v>7</v>
      </c>
      <c r="W24" s="13">
        <v>7</v>
      </c>
      <c r="X24" s="13">
        <v>7</v>
      </c>
      <c r="Y24" s="13">
        <v>7</v>
      </c>
      <c r="Z24" s="13">
        <f ca="1">R24</f>
        <v>6</v>
      </c>
      <c r="AA24" s="13">
        <f t="shared" si="44"/>
        <v>6</v>
      </c>
      <c r="AB24" s="13">
        <f t="shared" si="44"/>
        <v>6</v>
      </c>
      <c r="AC24" s="13">
        <f t="shared" si="44"/>
        <v>6</v>
      </c>
      <c r="AD24" s="13">
        <f t="shared" si="44"/>
        <v>6</v>
      </c>
      <c r="AE24" s="13">
        <f t="shared" si="44"/>
        <v>6</v>
      </c>
      <c r="AF24" s="13">
        <f t="shared" si="44"/>
        <v>6</v>
      </c>
      <c r="AG24" s="13">
        <f t="shared" si="44"/>
        <v>6</v>
      </c>
      <c r="AH24" s="13">
        <f t="shared" si="44"/>
        <v>6</v>
      </c>
      <c r="AI24" s="13">
        <f t="shared" si="44"/>
        <v>6</v>
      </c>
      <c r="AJ24" s="13">
        <f t="shared" si="44"/>
        <v>6</v>
      </c>
      <c r="AK24" s="13">
        <f t="shared" si="44"/>
        <v>6</v>
      </c>
      <c r="AL24" s="13">
        <f t="shared" si="44"/>
        <v>6</v>
      </c>
      <c r="AM24" s="13">
        <f t="shared" si="44"/>
        <v>6</v>
      </c>
      <c r="AN24" s="13">
        <f t="shared" si="44"/>
        <v>6</v>
      </c>
      <c r="AO24" s="13">
        <f t="shared" si="44"/>
        <v>6</v>
      </c>
      <c r="AP24" s="13">
        <f t="shared" si="34"/>
        <v>6</v>
      </c>
      <c r="AQ24" s="13">
        <f t="shared" si="34"/>
        <v>6</v>
      </c>
      <c r="AR24" s="13">
        <f t="shared" si="34"/>
        <v>6</v>
      </c>
      <c r="AS24" s="34">
        <v>7</v>
      </c>
      <c r="AT24" s="13">
        <f t="shared" si="34"/>
        <v>6</v>
      </c>
    </row>
    <row r="25" spans="1:46" x14ac:dyDescent="0.35">
      <c r="B25" t="s">
        <v>100</v>
      </c>
      <c r="C25" s="18">
        <v>-843</v>
      </c>
      <c r="D25" s="19">
        <f ca="1">D26*D13</f>
        <v>0</v>
      </c>
      <c r="E25" s="19">
        <f t="shared" ref="E25" ca="1" si="45">E26*E13</f>
        <v>0</v>
      </c>
      <c r="F25" s="19">
        <f t="shared" ref="F25" ca="1" si="46">F26*F13</f>
        <v>0</v>
      </c>
      <c r="G25" s="19">
        <f t="shared" ref="G25" ca="1" si="47">G26*G13</f>
        <v>0</v>
      </c>
      <c r="H25" s="19">
        <f t="shared" ref="H25" ca="1" si="48">H26*H13</f>
        <v>0</v>
      </c>
      <c r="I25" s="19">
        <f t="shared" ref="I25" ca="1" si="49">I26*I13</f>
        <v>0</v>
      </c>
      <c r="J25" s="19">
        <f t="shared" ref="J25" ca="1" si="50">J26*J13</f>
        <v>0</v>
      </c>
      <c r="K25" s="19">
        <f t="shared" ref="K25" ca="1" si="51">K26*K13</f>
        <v>0</v>
      </c>
      <c r="L25" s="19">
        <f t="shared" ref="L25" ca="1" si="52">L26*L13</f>
        <v>0</v>
      </c>
      <c r="M25" s="19">
        <f t="shared" ref="M25" ca="1" si="53">M26*M13</f>
        <v>0</v>
      </c>
      <c r="Q25" s="16" t="s">
        <v>69</v>
      </c>
      <c r="R25" s="63">
        <f ca="1">OFFSET(R25,,$R$4)</f>
        <v>0.12</v>
      </c>
      <c r="S25" s="11">
        <v>0.12</v>
      </c>
      <c r="T25" s="11">
        <v>0.12</v>
      </c>
      <c r="U25" s="11">
        <v>0.12</v>
      </c>
      <c r="V25" s="11">
        <v>0.12</v>
      </c>
      <c r="W25" s="11">
        <v>0.12</v>
      </c>
      <c r="X25" s="11">
        <v>0.12</v>
      </c>
      <c r="Y25" s="11">
        <v>0.12</v>
      </c>
      <c r="Z25" s="11">
        <v>0.12</v>
      </c>
      <c r="AA25" s="11">
        <f t="shared" si="44"/>
        <v>0.12</v>
      </c>
      <c r="AB25" s="11">
        <f t="shared" si="44"/>
        <v>0.12</v>
      </c>
      <c r="AC25" s="11">
        <f t="shared" si="44"/>
        <v>0.12</v>
      </c>
      <c r="AD25" s="11">
        <f t="shared" si="44"/>
        <v>0.12</v>
      </c>
      <c r="AE25" s="11">
        <f t="shared" si="44"/>
        <v>0.12</v>
      </c>
      <c r="AF25" s="11">
        <f t="shared" si="44"/>
        <v>0.12</v>
      </c>
      <c r="AG25" s="11">
        <f t="shared" si="44"/>
        <v>0.12</v>
      </c>
      <c r="AH25" s="11">
        <f t="shared" si="44"/>
        <v>0.12</v>
      </c>
      <c r="AI25" s="11">
        <f t="shared" si="44"/>
        <v>0.12</v>
      </c>
      <c r="AJ25" s="11">
        <f t="shared" si="44"/>
        <v>0.12</v>
      </c>
      <c r="AK25" s="11">
        <f t="shared" si="44"/>
        <v>0.12</v>
      </c>
      <c r="AL25" s="11">
        <f t="shared" si="44"/>
        <v>0.12</v>
      </c>
      <c r="AM25" s="11">
        <f t="shared" si="44"/>
        <v>0.12</v>
      </c>
      <c r="AN25" s="11">
        <f t="shared" si="44"/>
        <v>0.12</v>
      </c>
      <c r="AO25" s="11">
        <f t="shared" si="44"/>
        <v>0.12</v>
      </c>
      <c r="AP25" s="11">
        <f t="shared" si="34"/>
        <v>0.12</v>
      </c>
      <c r="AQ25" s="11">
        <f t="shared" si="34"/>
        <v>0.12</v>
      </c>
      <c r="AR25" s="11">
        <f t="shared" si="34"/>
        <v>0.12</v>
      </c>
      <c r="AS25" s="11">
        <f t="shared" si="34"/>
        <v>0.12</v>
      </c>
      <c r="AT25" s="43">
        <v>0.13</v>
      </c>
    </row>
    <row r="26" spans="1:46" x14ac:dyDescent="0.35">
      <c r="B26" s="5" t="s">
        <v>101</v>
      </c>
      <c r="C26" s="9">
        <f>C25/C13</f>
        <v>-2.2906363784576927E-2</v>
      </c>
      <c r="D26" s="8">
        <f ca="1">C26+($M26-$C26)/10</f>
        <v>-2.0615727406119236E-2</v>
      </c>
      <c r="E26" s="8">
        <f t="shared" ca="1" si="23"/>
        <v>-1.8325091027661541E-2</v>
      </c>
      <c r="F26" s="8">
        <f t="shared" ca="1" si="23"/>
        <v>-1.6034454649203847E-2</v>
      </c>
      <c r="G26" s="8">
        <f t="shared" ca="1" si="23"/>
        <v>-1.3743818270746154E-2</v>
      </c>
      <c r="H26" s="8">
        <f t="shared" ca="1" si="23"/>
        <v>-1.1453181892288462E-2</v>
      </c>
      <c r="I26" s="8">
        <f t="shared" ca="1" si="23"/>
        <v>-9.162545513830769E-3</v>
      </c>
      <c r="J26" s="8">
        <f t="shared" ca="1" si="23"/>
        <v>-6.8719091353730763E-3</v>
      </c>
      <c r="K26" s="8">
        <f t="shared" ca="1" si="23"/>
        <v>-4.5812727569153836E-3</v>
      </c>
      <c r="L26" s="8">
        <f t="shared" ca="1" si="23"/>
        <v>-2.2906363784576909E-3</v>
      </c>
      <c r="M26" s="12">
        <f ca="1">R13</f>
        <v>0</v>
      </c>
      <c r="Q26" s="16" t="s">
        <v>67</v>
      </c>
      <c r="R26" s="19">
        <f ca="1">C81</f>
        <v>481993.45363172394</v>
      </c>
      <c r="S26" s="19">
        <f>S31</f>
        <v>481993.45363172394</v>
      </c>
      <c r="T26" s="19">
        <f t="shared" ref="T26:Z26" si="54">T31</f>
        <v>523243.27639971091</v>
      </c>
      <c r="U26" s="19">
        <f t="shared" si="54"/>
        <v>464725.6918326809</v>
      </c>
      <c r="V26" s="19">
        <f t="shared" si="54"/>
        <v>310205.61453252251</v>
      </c>
      <c r="W26" s="19">
        <f t="shared" si="54"/>
        <v>443023.95852010697</v>
      </c>
      <c r="X26" s="19">
        <f t="shared" si="54"/>
        <v>483811.48662535544</v>
      </c>
      <c r="Y26" s="19">
        <f t="shared" si="54"/>
        <v>520820.98452190857</v>
      </c>
      <c r="Z26" s="19">
        <f t="shared" si="54"/>
        <v>520820.98452190857</v>
      </c>
    </row>
    <row r="27" spans="1:46" x14ac:dyDescent="0.35">
      <c r="B27" s="16" t="s">
        <v>18</v>
      </c>
      <c r="C27" s="18">
        <f>-9224</f>
        <v>-9224</v>
      </c>
      <c r="D27" s="19">
        <f ca="1">D28*D15</f>
        <v>-6267.3356999999996</v>
      </c>
      <c r="E27" s="19">
        <f t="shared" ref="E27" ca="1" si="55">E28*E15</f>
        <v>-6644.1924180000005</v>
      </c>
      <c r="F27" s="19">
        <f t="shared" ref="F27" ca="1" si="56">F28*F15</f>
        <v>-7047.1650082800006</v>
      </c>
      <c r="G27" s="19">
        <f t="shared" ref="G27" ca="1" si="57">G28*G15</f>
        <v>-7478.2004046696011</v>
      </c>
      <c r="H27" s="19">
        <f t="shared" ref="H27" ca="1" si="58">H28*H15</f>
        <v>-7939.3959816797296</v>
      </c>
      <c r="I27" s="19">
        <f t="shared" ref="I27" ca="1" si="59">I28*I15</f>
        <v>-8433.0113847844077</v>
      </c>
      <c r="J27" s="19">
        <f t="shared" ref="J27" ca="1" si="60">J28*J15</f>
        <v>-8961.4812990779155</v>
      </c>
      <c r="K27" s="19">
        <f t="shared" ref="K27" ca="1" si="61">K28*K15</f>
        <v>-9527.4292310585315</v>
      </c>
      <c r="L27" s="19">
        <f t="shared" ref="L27" ca="1" si="62">L28*L15</f>
        <v>-10133.68238425743</v>
      </c>
      <c r="M27" s="19">
        <f t="shared" ref="M27" ca="1" si="63">M28*M15</f>
        <v>-10783.287715875622</v>
      </c>
      <c r="Q27" s="16" t="s">
        <v>66</v>
      </c>
      <c r="R27" s="12">
        <f ca="1">C78</f>
        <v>0.16582783088853681</v>
      </c>
      <c r="S27" s="12">
        <f t="shared" ref="S27:Z27" si="64">S32</f>
        <v>0.16582783088853681</v>
      </c>
      <c r="T27" s="12">
        <f t="shared" si="64"/>
        <v>0.17942276348321773</v>
      </c>
      <c r="U27" s="12">
        <f t="shared" si="64"/>
        <v>0.16089083841218188</v>
      </c>
      <c r="V27" s="12">
        <f t="shared" si="64"/>
        <v>9.4028424466585436E-2</v>
      </c>
      <c r="W27" s="12">
        <f t="shared" si="64"/>
        <v>0.1512751543033477</v>
      </c>
      <c r="X27" s="12">
        <f t="shared" si="64"/>
        <v>0.16496258445129297</v>
      </c>
      <c r="Y27" s="12">
        <f t="shared" si="64"/>
        <v>0.17740195204880749</v>
      </c>
      <c r="Z27" s="12">
        <f t="shared" si="64"/>
        <v>0.17740195204880749</v>
      </c>
    </row>
    <row r="28" spans="1:46" x14ac:dyDescent="0.35">
      <c r="B28" s="5" t="s">
        <v>19</v>
      </c>
      <c r="C28" s="9">
        <f>C27/C15</f>
        <v>-2.1395385518218783E-2</v>
      </c>
      <c r="D28" s="8">
        <f>$S$14</f>
        <v>-1.4999999999999999E-2</v>
      </c>
      <c r="E28" s="8">
        <f t="shared" ref="E28:M28" si="65">$S$14</f>
        <v>-1.4999999999999999E-2</v>
      </c>
      <c r="F28" s="8">
        <f t="shared" si="65"/>
        <v>-1.4999999999999999E-2</v>
      </c>
      <c r="G28" s="8">
        <f t="shared" si="65"/>
        <v>-1.4999999999999999E-2</v>
      </c>
      <c r="H28" s="8">
        <f t="shared" si="65"/>
        <v>-1.4999999999999999E-2</v>
      </c>
      <c r="I28" s="8">
        <f t="shared" si="65"/>
        <v>-1.4999999999999999E-2</v>
      </c>
      <c r="J28" s="8">
        <f t="shared" si="65"/>
        <v>-1.4999999999999999E-2</v>
      </c>
      <c r="K28" s="8">
        <f t="shared" si="65"/>
        <v>-1.4999999999999999E-2</v>
      </c>
      <c r="L28" s="8">
        <f t="shared" si="65"/>
        <v>-1.4999999999999999E-2</v>
      </c>
      <c r="M28" s="8">
        <f t="shared" si="65"/>
        <v>-1.4999999999999999E-2</v>
      </c>
      <c r="Q28" s="16" t="s">
        <v>68</v>
      </c>
      <c r="R28" s="12">
        <f ca="1">C79</f>
        <v>0.54521164571814329</v>
      </c>
      <c r="S28" s="12">
        <f t="shared" ref="S28:Z28" si="66">S33</f>
        <v>0.54521164571814329</v>
      </c>
      <c r="T28" s="12">
        <f t="shared" si="66"/>
        <v>0.58973583283390973</v>
      </c>
      <c r="U28" s="12">
        <f t="shared" si="66"/>
        <v>0.56646471807883203</v>
      </c>
      <c r="V28" s="12">
        <f t="shared" si="66"/>
        <v>0.3708039353100554</v>
      </c>
      <c r="W28" s="12">
        <f t="shared" si="66"/>
        <v>0.47340695384966369</v>
      </c>
      <c r="X28" s="12">
        <f t="shared" si="66"/>
        <v>0.50518717385598988</v>
      </c>
      <c r="Y28" s="12">
        <f t="shared" si="66"/>
        <v>0.55783796811003183</v>
      </c>
      <c r="Z28" s="12">
        <f t="shared" si="66"/>
        <v>0.55783796811003183</v>
      </c>
    </row>
    <row r="29" spans="1:46" x14ac:dyDescent="0.35">
      <c r="B29" s="66" t="s">
        <v>17</v>
      </c>
      <c r="C29" s="71">
        <f>SUM(C19:C28)</f>
        <v>42299.361451993238</v>
      </c>
      <c r="D29" s="71">
        <f t="shared" ref="D29:M29" ca="1" si="67">SUM(D19:D28)</f>
        <v>49954.244562640873</v>
      </c>
      <c r="E29" s="71">
        <f t="shared" ca="1" si="67"/>
        <v>53739.992142303003</v>
      </c>
      <c r="F29" s="71">
        <f t="shared" ca="1" si="67"/>
        <v>57832.644188909122</v>
      </c>
      <c r="G29" s="71">
        <f t="shared" ca="1" si="67"/>
        <v>62258.065153290438</v>
      </c>
      <c r="H29" s="71">
        <f t="shared" ca="1" si="67"/>
        <v>67044.339508875637</v>
      </c>
      <c r="I29" s="71">
        <f t="shared" ca="1" si="67"/>
        <v>72221.963599108596</v>
      </c>
      <c r="J29" s="71">
        <f t="shared" ca="1" si="67"/>
        <v>77824.054076311557</v>
      </c>
      <c r="K29" s="71">
        <f t="shared" ca="1" si="67"/>
        <v>83886.574363738982</v>
      </c>
      <c r="L29" s="71">
        <f t="shared" ca="1" si="67"/>
        <v>90448.580695692202</v>
      </c>
      <c r="M29" s="71">
        <f t="shared" ca="1" si="67"/>
        <v>97552.489424238287</v>
      </c>
    </row>
    <row r="30" spans="1:46" x14ac:dyDescent="0.35">
      <c r="B30" s="5" t="s">
        <v>15</v>
      </c>
      <c r="C30" s="9">
        <f>C29/C15</f>
        <v>9.811482496095815E-2</v>
      </c>
      <c r="D30" s="9">
        <f t="shared" ref="D30:M30" ca="1" si="68">D29/D15</f>
        <v>0.11955856592133929</v>
      </c>
      <c r="E30" s="9">
        <f t="shared" ca="1" si="68"/>
        <v>0.12132398212169673</v>
      </c>
      <c r="F30" s="9">
        <f t="shared" ca="1" si="68"/>
        <v>0.12309767996270669</v>
      </c>
      <c r="G30" s="9">
        <f t="shared" ca="1" si="68"/>
        <v>0.12487910550193612</v>
      </c>
      <c r="H30" s="9">
        <f t="shared" ca="1" si="68"/>
        <v>0.12666770809186506</v>
      </c>
      <c r="I30" s="9">
        <f t="shared" ca="1" si="68"/>
        <v>0.12846294218708973</v>
      </c>
      <c r="J30" s="9">
        <f t="shared" ca="1" si="68"/>
        <v>0.13026426906283764</v>
      </c>
      <c r="K30" s="9">
        <f t="shared" ca="1" si="68"/>
        <v>0.13207115843528372</v>
      </c>
      <c r="L30" s="9">
        <f t="shared" ca="1" si="68"/>
        <v>0.13388308997556966</v>
      </c>
      <c r="M30" s="9">
        <f t="shared" ca="1" si="68"/>
        <v>0.13569955471087539</v>
      </c>
      <c r="S30">
        <v>1</v>
      </c>
      <c r="T30">
        <f>S30+1</f>
        <v>2</v>
      </c>
      <c r="U30">
        <f t="shared" ref="U30:AT30" si="69">T30+1</f>
        <v>3</v>
      </c>
      <c r="V30">
        <f t="shared" si="69"/>
        <v>4</v>
      </c>
      <c r="W30">
        <f t="shared" si="69"/>
        <v>5</v>
      </c>
      <c r="X30">
        <f t="shared" si="69"/>
        <v>6</v>
      </c>
      <c r="Y30">
        <f t="shared" si="69"/>
        <v>7</v>
      </c>
      <c r="Z30">
        <f t="shared" si="69"/>
        <v>8</v>
      </c>
      <c r="AA30">
        <f t="shared" si="69"/>
        <v>9</v>
      </c>
      <c r="AB30">
        <f t="shared" si="69"/>
        <v>10</v>
      </c>
      <c r="AC30">
        <f t="shared" si="69"/>
        <v>11</v>
      </c>
      <c r="AD30">
        <f t="shared" si="69"/>
        <v>12</v>
      </c>
      <c r="AE30">
        <f t="shared" si="69"/>
        <v>13</v>
      </c>
      <c r="AF30">
        <f t="shared" si="69"/>
        <v>14</v>
      </c>
      <c r="AG30">
        <f t="shared" si="69"/>
        <v>15</v>
      </c>
      <c r="AH30">
        <f t="shared" si="69"/>
        <v>16</v>
      </c>
      <c r="AI30">
        <f t="shared" si="69"/>
        <v>17</v>
      </c>
      <c r="AJ30">
        <f t="shared" si="69"/>
        <v>18</v>
      </c>
      <c r="AK30">
        <f t="shared" si="69"/>
        <v>19</v>
      </c>
      <c r="AL30">
        <f t="shared" si="69"/>
        <v>20</v>
      </c>
      <c r="AM30">
        <f t="shared" si="69"/>
        <v>21</v>
      </c>
      <c r="AN30">
        <f t="shared" si="69"/>
        <v>22</v>
      </c>
      <c r="AO30">
        <f t="shared" si="69"/>
        <v>23</v>
      </c>
      <c r="AP30">
        <f t="shared" si="69"/>
        <v>24</v>
      </c>
      <c r="AQ30">
        <f t="shared" si="69"/>
        <v>25</v>
      </c>
      <c r="AR30">
        <f t="shared" si="69"/>
        <v>26</v>
      </c>
      <c r="AS30">
        <f t="shared" si="69"/>
        <v>27</v>
      </c>
      <c r="AT30">
        <f t="shared" si="69"/>
        <v>28</v>
      </c>
    </row>
    <row r="31" spans="1:46" x14ac:dyDescent="0.35">
      <c r="B31" s="5" t="s">
        <v>5</v>
      </c>
      <c r="C31" s="20"/>
      <c r="D31" s="9">
        <f ca="1">D29/C29-1</f>
        <v>0.18096923565466549</v>
      </c>
      <c r="E31" s="9">
        <f t="shared" ref="E31:M31" ca="1" si="70">E29/D29-1</f>
        <v>7.5784302471333165E-2</v>
      </c>
      <c r="F31" s="9">
        <f t="shared" ca="1" si="70"/>
        <v>7.6156543450337955E-2</v>
      </c>
      <c r="G31" s="9">
        <f t="shared" ca="1" si="70"/>
        <v>7.6521159052070464E-2</v>
      </c>
      <c r="H31" s="9">
        <f t="shared" ca="1" si="70"/>
        <v>7.687798109049071E-2</v>
      </c>
      <c r="I31" s="9">
        <f t="shared" ca="1" si="70"/>
        <v>7.7226864015082386E-2</v>
      </c>
      <c r="J31" s="9">
        <f t="shared" ca="1" si="70"/>
        <v>7.7567684372293888E-2</v>
      </c>
      <c r="K31" s="9">
        <f t="shared" ca="1" si="70"/>
        <v>7.7900340188943762E-2</v>
      </c>
      <c r="L31" s="9">
        <f t="shared" ca="1" si="70"/>
        <v>7.8224750286021161E-2</v>
      </c>
      <c r="M31" s="9">
        <f t="shared" ca="1" si="70"/>
        <v>7.8540853531430033E-2</v>
      </c>
      <c r="R31" s="19">
        <f ca="1">R26</f>
        <v>481993.45363172394</v>
      </c>
      <c r="S31" s="19">
        <f t="dataTable" ref="S31:AT33" dt2D="0" dtr="1" r1="R4" ca="1"/>
        <v>481993.45363172394</v>
      </c>
      <c r="T31" s="19">
        <v>523243.27639971091</v>
      </c>
      <c r="U31" s="19">
        <v>464725.6918326809</v>
      </c>
      <c r="V31" s="19">
        <v>310205.61453252251</v>
      </c>
      <c r="W31" s="19">
        <v>443023.95852010697</v>
      </c>
      <c r="X31" s="19">
        <v>483811.48662535544</v>
      </c>
      <c r="Y31" s="19">
        <v>520820.98452190857</v>
      </c>
      <c r="Z31" s="19">
        <v>520820.98452190857</v>
      </c>
      <c r="AA31" s="19">
        <v>524374.64583622245</v>
      </c>
      <c r="AB31" s="19">
        <v>488873.78652985569</v>
      </c>
      <c r="AC31" s="19">
        <v>494775.77840307751</v>
      </c>
      <c r="AD31" s="19">
        <v>481993.45124303689</v>
      </c>
      <c r="AE31" s="19">
        <v>511524.41684819927</v>
      </c>
      <c r="AF31" s="19">
        <v>486247.51938144543</v>
      </c>
      <c r="AG31" s="19">
        <v>493998.06462159578</v>
      </c>
      <c r="AH31" s="19">
        <v>481993.52335368661</v>
      </c>
      <c r="AI31" s="19">
        <v>481993.45363172394</v>
      </c>
      <c r="AJ31" s="19">
        <v>545342.08384120604</v>
      </c>
      <c r="AK31" s="19">
        <v>481993.45363172394</v>
      </c>
      <c r="AL31" s="19">
        <v>481993.45363172394</v>
      </c>
      <c r="AM31" s="19">
        <v>481993.45363172394</v>
      </c>
      <c r="AN31" s="19">
        <v>481993.45363172394</v>
      </c>
      <c r="AO31" s="19">
        <v>484007.16213872342</v>
      </c>
      <c r="AP31" s="19">
        <v>481993.45363172394</v>
      </c>
      <c r="AQ31" s="19">
        <v>481993.45363172394</v>
      </c>
      <c r="AR31" s="19">
        <v>481993.45363172394</v>
      </c>
      <c r="AS31" s="19">
        <v>520820.98452190857</v>
      </c>
      <c r="AT31" s="19">
        <v>451810.60924196569</v>
      </c>
    </row>
    <row r="32" spans="1:46" x14ac:dyDescent="0.35">
      <c r="R32" s="8">
        <f t="shared" ref="R32:R33" ca="1" si="71">R27</f>
        <v>0.16582783088853681</v>
      </c>
      <c r="S32" s="8">
        <v>0.16582783088853681</v>
      </c>
      <c r="T32" s="8">
        <v>0.17942276348321773</v>
      </c>
      <c r="U32" s="8">
        <v>0.16089083841218188</v>
      </c>
      <c r="V32" s="8">
        <v>9.4028424466585436E-2</v>
      </c>
      <c r="W32" s="8">
        <v>0.1512751543033477</v>
      </c>
      <c r="X32" s="8">
        <v>0.16496258445129297</v>
      </c>
      <c r="Y32" s="8">
        <v>0.17740195204880749</v>
      </c>
      <c r="Z32" s="8">
        <v>0.17740195204880749</v>
      </c>
      <c r="AA32" s="8">
        <v>0.17873863286580804</v>
      </c>
      <c r="AB32" s="8">
        <v>0.16803953794799753</v>
      </c>
      <c r="AC32" s="8">
        <v>0.16982186504248342</v>
      </c>
      <c r="AD32" s="8">
        <v>0.16582782971526444</v>
      </c>
      <c r="AE32" s="8">
        <v>0.17531225924673111</v>
      </c>
      <c r="AF32" s="8">
        <v>0.16724943386313829</v>
      </c>
      <c r="AG32" s="8">
        <v>0.16978894856651494</v>
      </c>
      <c r="AH32" s="8">
        <v>0.16582785440860537</v>
      </c>
      <c r="AI32" s="8">
        <v>0.16582783088853681</v>
      </c>
      <c r="AJ32" s="8">
        <v>0.18745883958855836</v>
      </c>
      <c r="AK32" s="8">
        <v>0.16582783088853681</v>
      </c>
      <c r="AL32" s="8">
        <v>0.16582783088853681</v>
      </c>
      <c r="AM32" s="8">
        <v>0.16582783088853681</v>
      </c>
      <c r="AN32" s="8">
        <v>0.16582783088853681</v>
      </c>
      <c r="AO32" s="8">
        <v>0.16659102580354879</v>
      </c>
      <c r="AP32" s="8">
        <v>0.14371480812477522</v>
      </c>
      <c r="AQ32" s="8">
        <v>0.16582783088853681</v>
      </c>
      <c r="AR32" s="8">
        <v>0.16582783088853681</v>
      </c>
      <c r="AS32" s="8">
        <v>0.17740195204880749</v>
      </c>
      <c r="AT32" s="8">
        <v>0.16582783088853681</v>
      </c>
    </row>
    <row r="33" spans="1:46" x14ac:dyDescent="0.35">
      <c r="B33" s="5" t="s">
        <v>20</v>
      </c>
      <c r="D33" s="13">
        <f ca="1">$R$15*D15</f>
        <v>4178.2237999999998</v>
      </c>
      <c r="E33" s="13">
        <f t="shared" ref="E33:M33" ca="1" si="72">$R$15*E15</f>
        <v>4429.4616120000001</v>
      </c>
      <c r="F33" s="13">
        <f t="shared" ca="1" si="72"/>
        <v>4698.1100055200004</v>
      </c>
      <c r="G33" s="13">
        <f t="shared" ca="1" si="72"/>
        <v>4985.4669364464007</v>
      </c>
      <c r="H33" s="13">
        <f t="shared" ca="1" si="72"/>
        <v>5292.9306544531537</v>
      </c>
      <c r="I33" s="13">
        <f t="shared" ca="1" si="72"/>
        <v>5622.0075898562718</v>
      </c>
      <c r="J33" s="13">
        <f t="shared" ca="1" si="72"/>
        <v>5974.320866051944</v>
      </c>
      <c r="K33" s="13">
        <f t="shared" ca="1" si="72"/>
        <v>6351.6194873723553</v>
      </c>
      <c r="L33" s="13">
        <f t="shared" ca="1" si="72"/>
        <v>6755.7882561716206</v>
      </c>
      <c r="M33" s="13">
        <f t="shared" ca="1" si="72"/>
        <v>7188.8584772504146</v>
      </c>
      <c r="R33" s="8">
        <f t="shared" ca="1" si="71"/>
        <v>0.54521164571814329</v>
      </c>
      <c r="S33" s="8">
        <v>0.54521164571814329</v>
      </c>
      <c r="T33" s="8">
        <v>0.58973583283390973</v>
      </c>
      <c r="U33" s="8">
        <v>0.56646471807883203</v>
      </c>
      <c r="V33" s="8">
        <v>0.3708039353100554</v>
      </c>
      <c r="W33" s="8">
        <v>0.47340695384966369</v>
      </c>
      <c r="X33" s="8">
        <v>0.50518717385598988</v>
      </c>
      <c r="Y33" s="8">
        <v>0.55783796811003183</v>
      </c>
      <c r="Z33" s="8">
        <v>0.55783796811003183</v>
      </c>
      <c r="AA33" s="8">
        <v>0.56242818345354895</v>
      </c>
      <c r="AB33" s="8">
        <v>0.54861970422539996</v>
      </c>
      <c r="AC33" s="8">
        <v>0.54920483349053817</v>
      </c>
      <c r="AD33" s="8">
        <v>0.54521162609849672</v>
      </c>
      <c r="AE33" s="8">
        <v>0.56615685302174645</v>
      </c>
      <c r="AF33" s="8">
        <v>0.5488534712981834</v>
      </c>
      <c r="AG33" s="8">
        <v>0.55484657312596575</v>
      </c>
      <c r="AH33" s="8">
        <v>0.54521170928797802</v>
      </c>
      <c r="AI33" s="8">
        <v>0.54521164571814329</v>
      </c>
      <c r="AJ33" s="8">
        <v>0.64088373304913038</v>
      </c>
      <c r="AK33" s="8">
        <v>0.54521164571814329</v>
      </c>
      <c r="AL33" s="8">
        <v>0.54521164571814329</v>
      </c>
      <c r="AM33" s="8">
        <v>0.54521164571814329</v>
      </c>
      <c r="AN33" s="8">
        <v>0.54521164571814329</v>
      </c>
      <c r="AO33" s="8">
        <v>0.54962191610552602</v>
      </c>
      <c r="AP33" s="8">
        <v>0.31630144086337375</v>
      </c>
      <c r="AQ33" s="8">
        <v>0.34370137419525904</v>
      </c>
      <c r="AR33" s="8">
        <v>0.48918874680173907</v>
      </c>
      <c r="AS33" s="8">
        <v>0.55783796811003183</v>
      </c>
      <c r="AT33" s="8">
        <v>0.54521164571814329</v>
      </c>
    </row>
    <row r="34" spans="1:46" x14ac:dyDescent="0.35">
      <c r="B34" s="5" t="s">
        <v>21</v>
      </c>
      <c r="C34">
        <v>9506</v>
      </c>
      <c r="D34" s="13">
        <f ca="1">$S$16*D15</f>
        <v>9212.7721551026279</v>
      </c>
      <c r="E34" s="13">
        <f t="shared" ref="E34:M34" ca="1" si="73">$S$16*E15</f>
        <v>9766.738823595233</v>
      </c>
      <c r="F34" s="13">
        <f t="shared" ca="1" si="73"/>
        <v>10359.094943756654</v>
      </c>
      <c r="G34" s="13">
        <f t="shared" ca="1" si="73"/>
        <v>10992.70244266911</v>
      </c>
      <c r="H34" s="13">
        <f t="shared" ca="1" si="73"/>
        <v>11670.64439014376</v>
      </c>
      <c r="I34" s="13">
        <f t="shared" ca="1" si="73"/>
        <v>12396.242388836017</v>
      </c>
      <c r="J34" s="13">
        <f t="shared" ca="1" si="73"/>
        <v>13173.075343741033</v>
      </c>
      <c r="K34" s="13">
        <f t="shared" ca="1" si="73"/>
        <v>14004.999720951104</v>
      </c>
      <c r="L34" s="13">
        <f t="shared" ca="1" si="73"/>
        <v>14896.171414328559</v>
      </c>
      <c r="M34" s="13">
        <f t="shared" ca="1" si="73"/>
        <v>15851.069348220672</v>
      </c>
      <c r="AA34" s="8">
        <f>ABS(AA32-$S$32)</f>
        <v>1.2910801977271236E-2</v>
      </c>
      <c r="AB34" s="8">
        <f t="shared" ref="AB34:AT34" si="74">ABS(AB32-$S$32)</f>
        <v>2.2117070594607213E-3</v>
      </c>
      <c r="AC34" s="8">
        <f t="shared" si="74"/>
        <v>3.9940341539466129E-3</v>
      </c>
      <c r="AD34" s="8">
        <f t="shared" si="74"/>
        <v>1.1732723681490143E-9</v>
      </c>
      <c r="AE34" s="8">
        <f t="shared" si="74"/>
        <v>9.4844283581942967E-3</v>
      </c>
      <c r="AF34" s="8">
        <f t="shared" si="74"/>
        <v>1.4216029746014769E-3</v>
      </c>
      <c r="AG34" s="8">
        <f t="shared" si="74"/>
        <v>3.9611176779781321E-3</v>
      </c>
      <c r="AH34" s="8">
        <f t="shared" si="74"/>
        <v>2.3520068559435003E-8</v>
      </c>
      <c r="AI34" s="8">
        <f t="shared" si="74"/>
        <v>0</v>
      </c>
      <c r="AJ34" s="8">
        <f t="shared" si="74"/>
        <v>2.1631008700021548E-2</v>
      </c>
      <c r="AK34" s="8">
        <f t="shared" si="74"/>
        <v>0</v>
      </c>
      <c r="AL34" s="8">
        <f t="shared" si="74"/>
        <v>0</v>
      </c>
      <c r="AM34" s="8">
        <f t="shared" si="74"/>
        <v>0</v>
      </c>
      <c r="AN34" s="8">
        <f t="shared" si="74"/>
        <v>0</v>
      </c>
      <c r="AO34" s="8">
        <f t="shared" si="74"/>
        <v>7.6319491501197767E-4</v>
      </c>
      <c r="AP34" s="8">
        <f t="shared" si="74"/>
        <v>2.2113022763761592E-2</v>
      </c>
      <c r="AQ34" s="8">
        <f t="shared" si="74"/>
        <v>0</v>
      </c>
      <c r="AR34" s="8">
        <f t="shared" si="74"/>
        <v>0</v>
      </c>
      <c r="AS34" s="8">
        <f t="shared" si="74"/>
        <v>1.1574121160270678E-2</v>
      </c>
      <c r="AT34" s="8">
        <f t="shared" si="74"/>
        <v>0</v>
      </c>
    </row>
    <row r="35" spans="1:46" ht="16.5" thickBot="1" x14ac:dyDescent="0.55000000000000004">
      <c r="B35" s="72" t="s">
        <v>22</v>
      </c>
      <c r="C35" s="73">
        <f>C29+C34</f>
        <v>51805.361451993238</v>
      </c>
      <c r="D35" s="73">
        <f ca="1">SUM(D33:D34)+D29</f>
        <v>63345.240517743499</v>
      </c>
      <c r="E35" s="73">
        <f t="shared" ref="E35:M35" ca="1" si="75">SUM(E33:E34)+E29</f>
        <v>67936.19257789824</v>
      </c>
      <c r="F35" s="73">
        <f t="shared" ca="1" si="75"/>
        <v>72889.849138185775</v>
      </c>
      <c r="G35" s="73">
        <f t="shared" ca="1" si="75"/>
        <v>78236.234532405942</v>
      </c>
      <c r="H35" s="73">
        <f t="shared" ca="1" si="75"/>
        <v>84007.914553472554</v>
      </c>
      <c r="I35" s="73">
        <f t="shared" ca="1" si="75"/>
        <v>90240.213577800881</v>
      </c>
      <c r="J35" s="73">
        <f t="shared" ca="1" si="75"/>
        <v>96971.450286104533</v>
      </c>
      <c r="K35" s="73">
        <f t="shared" ca="1" si="75"/>
        <v>104243.19357206245</v>
      </c>
      <c r="L35" s="73">
        <f t="shared" ca="1" si="75"/>
        <v>112100.54036619238</v>
      </c>
      <c r="M35" s="73">
        <f t="shared" ca="1" si="75"/>
        <v>120592.41724970937</v>
      </c>
      <c r="Q35" s="46" t="s">
        <v>71</v>
      </c>
      <c r="R35" s="46" t="s">
        <v>13</v>
      </c>
      <c r="S35" s="46" t="s">
        <v>72</v>
      </c>
      <c r="T35" s="74" t="s">
        <v>73</v>
      </c>
      <c r="U35" s="74"/>
    </row>
    <row r="36" spans="1:46" x14ac:dyDescent="0.35">
      <c r="B36" s="5" t="s">
        <v>15</v>
      </c>
      <c r="C36" s="8">
        <f>C35/C15</f>
        <v>0.1201643191864772</v>
      </c>
      <c r="D36" s="8">
        <f ca="1">D35/D15</f>
        <v>0.15160806014685835</v>
      </c>
      <c r="E36" s="8">
        <f t="shared" ref="E36:M36" ca="1" si="76">E35/E15</f>
        <v>0.15337347634721579</v>
      </c>
      <c r="F36" s="8">
        <f t="shared" ca="1" si="76"/>
        <v>0.15514717418822574</v>
      </c>
      <c r="G36" s="8">
        <f t="shared" ca="1" si="76"/>
        <v>0.15692859972745518</v>
      </c>
      <c r="H36" s="8">
        <f t="shared" ca="1" si="76"/>
        <v>0.15871720231738412</v>
      </c>
      <c r="I36" s="8">
        <f t="shared" ca="1" si="76"/>
        <v>0.16051243641260879</v>
      </c>
      <c r="J36" s="8">
        <f t="shared" ca="1" si="76"/>
        <v>0.1623137632883567</v>
      </c>
      <c r="K36" s="8">
        <f t="shared" ca="1" si="76"/>
        <v>0.16412065266080278</v>
      </c>
      <c r="L36" s="8">
        <f t="shared" ca="1" si="76"/>
        <v>0.16593258420108872</v>
      </c>
      <c r="M36" s="8">
        <f t="shared" ca="1" si="76"/>
        <v>0.16774904893639442</v>
      </c>
      <c r="Q36" t="str">
        <f>Q6</f>
        <v>Men's Athletics Growth</v>
      </c>
      <c r="R36" s="11">
        <f>S6</f>
        <v>0.08</v>
      </c>
      <c r="S36" s="11">
        <v>0.02</v>
      </c>
      <c r="T36" s="8" cm="1">
        <f t="array" ref="T36:T55">TRANSPOSE(AA34:AT34)</f>
        <v>1.2910801977271236E-2</v>
      </c>
      <c r="U36" s="47" t="str">
        <f>REPT("|",3000*T36)</f>
        <v>||||||||||||||||||||||||||||||||||||||</v>
      </c>
    </row>
    <row r="37" spans="1:46" x14ac:dyDescent="0.35">
      <c r="B37" s="5" t="s">
        <v>5</v>
      </c>
      <c r="D37" s="8">
        <f ca="1">D35/C35-1</f>
        <v>0.22275453239418064</v>
      </c>
      <c r="E37" s="8">
        <f t="shared" ref="E37:M37" ca="1" si="77">E35/D35-1</f>
        <v>7.2475090829732913E-2</v>
      </c>
      <c r="F37" s="8">
        <f t="shared" ca="1" si="77"/>
        <v>7.2916311207865903E-2</v>
      </c>
      <c r="G37" s="8">
        <f t="shared" ca="1" si="77"/>
        <v>7.3348833307151029E-2</v>
      </c>
      <c r="H37" s="8">
        <f t="shared" ca="1" si="77"/>
        <v>7.3772466882668697E-2</v>
      </c>
      <c r="I37" s="8">
        <f t="shared" ca="1" si="77"/>
        <v>7.4187046035541826E-2</v>
      </c>
      <c r="J37" s="8">
        <f t="shared" ca="1" si="77"/>
        <v>7.4592428823323731E-2</v>
      </c>
      <c r="K37" s="8">
        <f t="shared" ca="1" si="77"/>
        <v>7.4988496763772838E-2</v>
      </c>
      <c r="L37" s="8">
        <f t="shared" ca="1" si="77"/>
        <v>7.5375154241588138E-2</v>
      </c>
      <c r="M37" s="8">
        <f t="shared" ca="1" si="77"/>
        <v>7.5752327828011001E-2</v>
      </c>
      <c r="Q37" t="str">
        <f t="shared" ref="Q37:Q55" si="78">Q7</f>
        <v>Men's Casual Growth</v>
      </c>
      <c r="R37" s="11">
        <f t="shared" ref="R37:R55" si="79">S7</f>
        <v>0.02</v>
      </c>
      <c r="S37" s="11">
        <v>0.02</v>
      </c>
      <c r="T37" s="8">
        <v>2.2117070594607213E-3</v>
      </c>
      <c r="U37" s="47" t="str">
        <f t="shared" ref="U37:U55" si="80">REPT("|",3000*T37)</f>
        <v>||||||</v>
      </c>
    </row>
    <row r="38" spans="1:46" x14ac:dyDescent="0.35">
      <c r="Q38" t="str">
        <f t="shared" si="78"/>
        <v>Women's Athletics Growth</v>
      </c>
      <c r="R38" s="11">
        <f t="shared" si="79"/>
        <v>0.04</v>
      </c>
      <c r="S38" s="11">
        <v>0.02</v>
      </c>
      <c r="T38" s="8">
        <v>3.9940341539466129E-3</v>
      </c>
      <c r="U38" s="47" t="str">
        <f t="shared" si="80"/>
        <v>|||||||||||</v>
      </c>
    </row>
    <row r="39" spans="1:46" x14ac:dyDescent="0.35">
      <c r="B39" s="22" t="s">
        <v>28</v>
      </c>
      <c r="Q39" t="str">
        <f t="shared" si="78"/>
        <v>Women's Casual Growth</v>
      </c>
      <c r="R39" s="11">
        <f t="shared" si="79"/>
        <v>0.02</v>
      </c>
      <c r="S39" s="11">
        <v>0.02</v>
      </c>
      <c r="T39" s="8">
        <v>1.1732723681490143E-9</v>
      </c>
      <c r="U39" s="47" t="str">
        <f t="shared" si="80"/>
        <v/>
      </c>
    </row>
    <row r="40" spans="1:46" x14ac:dyDescent="0.35">
      <c r="A40" t="s">
        <v>0</v>
      </c>
      <c r="B40" s="15" t="s">
        <v>22</v>
      </c>
      <c r="C40" s="21">
        <f>C35</f>
        <v>51805.361451993238</v>
      </c>
      <c r="D40" s="21">
        <f t="shared" ref="D40:M40" ca="1" si="81">D35</f>
        <v>63345.240517743499</v>
      </c>
      <c r="E40" s="21">
        <f t="shared" ca="1" si="81"/>
        <v>67936.19257789824</v>
      </c>
      <c r="F40" s="21">
        <f t="shared" ca="1" si="81"/>
        <v>72889.849138185775</v>
      </c>
      <c r="G40" s="21">
        <f t="shared" ca="1" si="81"/>
        <v>78236.234532405942</v>
      </c>
      <c r="H40" s="21">
        <f t="shared" ca="1" si="81"/>
        <v>84007.914553472554</v>
      </c>
      <c r="I40" s="21">
        <f t="shared" ca="1" si="81"/>
        <v>90240.213577800881</v>
      </c>
      <c r="J40" s="21">
        <f t="shared" ca="1" si="81"/>
        <v>96971.450286104533</v>
      </c>
      <c r="K40" s="21">
        <f t="shared" ca="1" si="81"/>
        <v>104243.19357206245</v>
      </c>
      <c r="L40" s="21">
        <f t="shared" ca="1" si="81"/>
        <v>112100.54036619238</v>
      </c>
      <c r="M40" s="21">
        <f t="shared" ca="1" si="81"/>
        <v>120592.41724970937</v>
      </c>
      <c r="Q40" t="str">
        <f t="shared" si="78"/>
        <v>Men's Athletics Margin %</v>
      </c>
      <c r="R40" s="11">
        <f t="shared" si="79"/>
        <v>0.16</v>
      </c>
      <c r="S40" s="11">
        <v>0.02</v>
      </c>
      <c r="T40" s="8">
        <v>9.4844283581942967E-3</v>
      </c>
      <c r="U40" s="47" t="str">
        <f t="shared" si="80"/>
        <v>||||||||||||||||||||||||||||</v>
      </c>
    </row>
    <row r="41" spans="1:46" x14ac:dyDescent="0.35">
      <c r="B41" t="s">
        <v>29</v>
      </c>
      <c r="C41" s="13">
        <f>-SUM(C40,-C34)*40%</f>
        <v>-16919.744580797294</v>
      </c>
      <c r="D41" s="13">
        <f t="shared" ref="D41:M41" ca="1" si="82">-SUM(D40,-D34)*40%</f>
        <v>-21652.98734505635</v>
      </c>
      <c r="E41" s="13">
        <f t="shared" ca="1" si="82"/>
        <v>-23267.781501721205</v>
      </c>
      <c r="F41" s="13">
        <f t="shared" ca="1" si="82"/>
        <v>-25012.301677771651</v>
      </c>
      <c r="G41" s="13">
        <f t="shared" ca="1" si="82"/>
        <v>-26897.412835894735</v>
      </c>
      <c r="H41" s="13">
        <f t="shared" ca="1" si="82"/>
        <v>-28934.908065331518</v>
      </c>
      <c r="I41" s="13">
        <f t="shared" ca="1" si="82"/>
        <v>-31137.588475585944</v>
      </c>
      <c r="J41" s="13">
        <f t="shared" ca="1" si="82"/>
        <v>-33519.349976945399</v>
      </c>
      <c r="K41" s="13">
        <f t="shared" ca="1" si="82"/>
        <v>-36095.277540444535</v>
      </c>
      <c r="L41" s="13">
        <f t="shared" ca="1" si="82"/>
        <v>-38881.747580745527</v>
      </c>
      <c r="M41" s="13">
        <f t="shared" ca="1" si="82"/>
        <v>-41896.539160595479</v>
      </c>
      <c r="Q41" t="str">
        <f t="shared" si="78"/>
        <v>Men's Casual Margin %</v>
      </c>
      <c r="R41" s="11">
        <f t="shared" si="79"/>
        <v>0.17</v>
      </c>
      <c r="S41" s="11">
        <v>0.02</v>
      </c>
      <c r="T41" s="8">
        <v>1.4216029746014769E-3</v>
      </c>
      <c r="U41" s="47" t="str">
        <f t="shared" si="80"/>
        <v>||||</v>
      </c>
    </row>
    <row r="42" spans="1:46" x14ac:dyDescent="0.35">
      <c r="B42" t="s">
        <v>30</v>
      </c>
      <c r="C42" s="13">
        <f>-C34</f>
        <v>-9506</v>
      </c>
      <c r="D42" s="13">
        <f t="shared" ref="D42:M42" ca="1" si="83">-D34</f>
        <v>-9212.7721551026279</v>
      </c>
      <c r="E42" s="13">
        <f t="shared" ca="1" si="83"/>
        <v>-9766.738823595233</v>
      </c>
      <c r="F42" s="13">
        <f t="shared" ca="1" si="83"/>
        <v>-10359.094943756654</v>
      </c>
      <c r="G42" s="13">
        <f t="shared" ca="1" si="83"/>
        <v>-10992.70244266911</v>
      </c>
      <c r="H42" s="13">
        <f t="shared" ca="1" si="83"/>
        <v>-11670.64439014376</v>
      </c>
      <c r="I42" s="13">
        <f t="shared" ca="1" si="83"/>
        <v>-12396.242388836017</v>
      </c>
      <c r="J42" s="13">
        <f t="shared" ca="1" si="83"/>
        <v>-13173.075343741033</v>
      </c>
      <c r="K42" s="13">
        <f t="shared" ca="1" si="83"/>
        <v>-14004.999720951104</v>
      </c>
      <c r="L42" s="13">
        <f t="shared" ca="1" si="83"/>
        <v>-14896.171414328559</v>
      </c>
      <c r="M42" s="13">
        <f t="shared" ca="1" si="83"/>
        <v>-15851.069348220672</v>
      </c>
      <c r="Q42" t="str">
        <f t="shared" si="78"/>
        <v>Women Athletic Margin %</v>
      </c>
      <c r="R42" s="11">
        <f t="shared" si="79"/>
        <v>0.12</v>
      </c>
      <c r="S42" s="11">
        <v>0.02</v>
      </c>
      <c r="T42" s="8">
        <v>3.9611176779781321E-3</v>
      </c>
      <c r="U42" s="47" t="str">
        <f t="shared" si="80"/>
        <v>|||||||||||</v>
      </c>
    </row>
    <row r="43" spans="1:46" x14ac:dyDescent="0.35">
      <c r="B43" t="s">
        <v>31</v>
      </c>
      <c r="C43" s="13"/>
      <c r="D43" s="13">
        <f ca="1">-(D63-C63)</f>
        <v>12088.97845114753</v>
      </c>
      <c r="E43" s="13">
        <f t="shared" ref="E43:M43" ca="1" si="84">-(E63-D63)</f>
        <v>4843.5461971718469</v>
      </c>
      <c r="F43" s="13">
        <f t="shared" ca="1" si="84"/>
        <v>5686.2896252198552</v>
      </c>
      <c r="G43" s="13">
        <f t="shared" ca="1" si="84"/>
        <v>-3461.4952872865833</v>
      </c>
      <c r="H43" s="13">
        <f t="shared" ca="1" si="84"/>
        <v>-3656.3729962169891</v>
      </c>
      <c r="I43" s="13">
        <f t="shared" ca="1" si="84"/>
        <v>-3862.5129493438726</v>
      </c>
      <c r="J43" s="13">
        <f t="shared" ca="1" si="84"/>
        <v>-4080.5261279465776</v>
      </c>
      <c r="K43" s="13">
        <f t="shared" ca="1" si="84"/>
        <v>-4311.0505921447329</v>
      </c>
      <c r="L43" s="13">
        <f t="shared" ca="1" si="84"/>
        <v>-4554.751931952851</v>
      </c>
      <c r="M43" s="13">
        <f t="shared" ca="1" si="84"/>
        <v>-4812.3236173342157</v>
      </c>
      <c r="Q43" t="str">
        <f t="shared" si="78"/>
        <v>Women's Casual Margin %</v>
      </c>
      <c r="R43" s="11">
        <f t="shared" si="79"/>
        <v>0</v>
      </c>
      <c r="S43" s="11">
        <v>0.02</v>
      </c>
      <c r="T43" s="8">
        <v>2.3520068559435003E-8</v>
      </c>
      <c r="U43" s="47" t="str">
        <f t="shared" si="80"/>
        <v/>
      </c>
    </row>
    <row r="44" spans="1:46" ht="15" thickBot="1" x14ac:dyDescent="0.4">
      <c r="B44" s="68" t="s">
        <v>32</v>
      </c>
      <c r="C44" s="69">
        <f>SUM(C40:C43)</f>
        <v>25379.616871195947</v>
      </c>
      <c r="D44" s="69">
        <f t="shared" ref="D44:M44" ca="1" si="85">SUM(D40:D43)</f>
        <v>44568.459468732057</v>
      </c>
      <c r="E44" s="69">
        <f t="shared" ca="1" si="85"/>
        <v>39745.218449753651</v>
      </c>
      <c r="F44" s="69">
        <f t="shared" ca="1" si="85"/>
        <v>43204.742141877323</v>
      </c>
      <c r="G44" s="69">
        <f t="shared" ca="1" si="85"/>
        <v>36884.623966555519</v>
      </c>
      <c r="H44" s="69">
        <f t="shared" ca="1" si="85"/>
        <v>39745.989101780287</v>
      </c>
      <c r="I44" s="69">
        <f t="shared" ca="1" si="85"/>
        <v>42843.869764035044</v>
      </c>
      <c r="J44" s="69">
        <f t="shared" ca="1" si="85"/>
        <v>46198.498837471525</v>
      </c>
      <c r="K44" s="69">
        <f t="shared" ca="1" si="85"/>
        <v>49831.865718522065</v>
      </c>
      <c r="L44" s="69">
        <f t="shared" ca="1" si="85"/>
        <v>53767.86943916545</v>
      </c>
      <c r="M44" s="69">
        <f t="shared" ca="1" si="85"/>
        <v>58032.485123559003</v>
      </c>
      <c r="Q44" t="str">
        <f t="shared" si="78"/>
        <v>% of Revenue</v>
      </c>
      <c r="R44" s="11">
        <f t="shared" si="79"/>
        <v>-1.4999999999999999E-2</v>
      </c>
      <c r="S44" s="11">
        <v>0.02</v>
      </c>
      <c r="T44" s="8">
        <v>0</v>
      </c>
      <c r="U44" s="47" t="str">
        <f t="shared" si="80"/>
        <v/>
      </c>
    </row>
    <row r="45" spans="1:46" x14ac:dyDescent="0.35">
      <c r="B45" s="5" t="s">
        <v>35</v>
      </c>
      <c r="C45" s="8">
        <f>C44/C35</f>
        <v>0.48990328722471355</v>
      </c>
      <c r="D45" s="8">
        <f t="shared" ref="D45:M45" ca="1" si="86">D44/D35</f>
        <v>0.703580239090703</v>
      </c>
      <c r="E45" s="8">
        <f t="shared" ca="1" si="86"/>
        <v>0.58503747327582811</v>
      </c>
      <c r="F45" s="8">
        <f t="shared" ca="1" si="86"/>
        <v>0.59274017785342181</v>
      </c>
      <c r="G45" s="8">
        <f t="shared" ca="1" si="86"/>
        <v>0.47145193256045159</v>
      </c>
      <c r="H45" s="8">
        <f t="shared" ca="1" si="86"/>
        <v>0.47312195896115533</v>
      </c>
      <c r="I45" s="8">
        <f t="shared" ca="1" si="86"/>
        <v>0.47477580188900004</v>
      </c>
      <c r="J45" s="8">
        <f t="shared" ca="1" si="86"/>
        <v>0.47641340519469894</v>
      </c>
      <c r="K45" s="8">
        <f t="shared" ca="1" si="86"/>
        <v>0.4780347187279303</v>
      </c>
      <c r="L45" s="8">
        <f t="shared" ca="1" si="86"/>
        <v>0.47963969900167341</v>
      </c>
      <c r="M45" s="8">
        <f t="shared" ca="1" si="86"/>
        <v>0.48122830976504755</v>
      </c>
      <c r="Q45" t="str">
        <f t="shared" si="78"/>
        <v>Synergies</v>
      </c>
      <c r="R45" s="11">
        <f t="shared" si="79"/>
        <v>0.01</v>
      </c>
      <c r="S45" s="11">
        <v>0.02</v>
      </c>
      <c r="T45" s="8">
        <v>2.1631008700021548E-2</v>
      </c>
      <c r="U45" s="47" t="str">
        <f t="shared" si="80"/>
        <v>||||||||||||||||||||||||||||||||||||||||||||||||||||||||||||||||</v>
      </c>
    </row>
    <row r="46" spans="1:46" x14ac:dyDescent="0.35">
      <c r="B46" s="5" t="s">
        <v>34</v>
      </c>
      <c r="Q46" t="str">
        <f t="shared" si="78"/>
        <v>D&amp;A</v>
      </c>
      <c r="R46" s="8">
        <f t="shared" si="79"/>
        <v>2.2049494225519054E-2</v>
      </c>
      <c r="S46" s="11">
        <v>0.01</v>
      </c>
      <c r="T46" s="8">
        <v>0</v>
      </c>
      <c r="U46" s="47" t="str">
        <f t="shared" si="80"/>
        <v/>
      </c>
    </row>
    <row r="47" spans="1:46" x14ac:dyDescent="0.35">
      <c r="B47" s="5" t="s">
        <v>5</v>
      </c>
      <c r="D47" s="8">
        <f ca="1">D44/C44-1</f>
        <v>0.7560729815158902</v>
      </c>
      <c r="E47" s="8">
        <f t="shared" ref="E47:M47" ca="1" si="87">E44/D44-1</f>
        <v>-0.10822094989310216</v>
      </c>
      <c r="F47" s="8">
        <f t="shared" ca="1" si="87"/>
        <v>8.7042512962842045E-2</v>
      </c>
      <c r="G47" s="8">
        <f t="shared" ca="1" si="87"/>
        <v>-0.14628297409038038</v>
      </c>
      <c r="H47" s="8">
        <f t="shared" ca="1" si="87"/>
        <v>7.7576096148337159E-2</v>
      </c>
      <c r="I47" s="8">
        <f t="shared" ca="1" si="87"/>
        <v>7.794196929712327E-2</v>
      </c>
      <c r="J47" s="8">
        <f t="shared" ca="1" si="87"/>
        <v>7.829892798928495E-2</v>
      </c>
      <c r="K47" s="8">
        <f t="shared" ca="1" si="87"/>
        <v>7.8646860233119176E-2</v>
      </c>
      <c r="L47" s="8">
        <f t="shared" ca="1" si="87"/>
        <v>7.8985678418626915E-2</v>
      </c>
      <c r="M47" s="8">
        <f t="shared" ca="1" si="87"/>
        <v>7.9315318402539026E-2</v>
      </c>
      <c r="Q47" t="str">
        <f t="shared" si="78"/>
        <v>Capex</v>
      </c>
      <c r="R47" s="8">
        <f t="shared" si="79"/>
        <v>2.2049494225519054E-2</v>
      </c>
      <c r="S47" s="11">
        <v>0.01</v>
      </c>
      <c r="T47" s="8">
        <v>0</v>
      </c>
      <c r="U47" s="47" t="str">
        <f t="shared" si="80"/>
        <v/>
      </c>
    </row>
    <row r="48" spans="1:46" x14ac:dyDescent="0.35">
      <c r="Q48" t="str">
        <f t="shared" si="78"/>
        <v>DSO</v>
      </c>
      <c r="R48" s="13">
        <f t="shared" si="79"/>
        <v>35</v>
      </c>
      <c r="S48" s="19">
        <v>2</v>
      </c>
      <c r="T48" s="8">
        <v>0</v>
      </c>
      <c r="U48" s="47" t="str">
        <f t="shared" si="80"/>
        <v/>
      </c>
    </row>
    <row r="49" spans="1:21" x14ac:dyDescent="0.35">
      <c r="A49" t="s">
        <v>0</v>
      </c>
      <c r="B49" s="1" t="s">
        <v>45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Q49" t="str">
        <f t="shared" si="78"/>
        <v>DIO</v>
      </c>
      <c r="R49" s="13">
        <f t="shared" si="79"/>
        <v>40</v>
      </c>
      <c r="S49" s="19">
        <v>2</v>
      </c>
      <c r="T49" s="8">
        <v>0</v>
      </c>
      <c r="U49" s="47" t="str">
        <f t="shared" si="80"/>
        <v/>
      </c>
    </row>
    <row r="50" spans="1:21" x14ac:dyDescent="0.35">
      <c r="Q50" t="str">
        <f t="shared" si="78"/>
        <v>DPO</v>
      </c>
      <c r="R50" s="13">
        <f t="shared" si="79"/>
        <v>17</v>
      </c>
      <c r="S50" s="19">
        <v>2</v>
      </c>
      <c r="T50" s="8">
        <v>7.6319491501197767E-4</v>
      </c>
      <c r="U50" s="47" t="str">
        <f t="shared" si="80"/>
        <v>||</v>
      </c>
    </row>
    <row r="51" spans="1:21" x14ac:dyDescent="0.35">
      <c r="B51" t="s">
        <v>46</v>
      </c>
      <c r="C51" s="18">
        <v>45910</v>
      </c>
      <c r="D51" s="13">
        <f ca="1">D52/365*D$15</f>
        <v>44050.965023379671</v>
      </c>
      <c r="E51" s="13">
        <f t="shared" ref="E51:M51" ca="1" si="88">E52/365*E$15</f>
        <v>46230.265366882195</v>
      </c>
      <c r="F51" s="13">
        <f t="shared" ca="1" si="88"/>
        <v>48536.174956217139</v>
      </c>
      <c r="G51" s="13">
        <f t="shared" ca="1" si="88"/>
        <v>50976.429139002867</v>
      </c>
      <c r="H51" s="13">
        <f t="shared" ca="1" si="88"/>
        <v>53559.227833986362</v>
      </c>
      <c r="I51" s="13">
        <f t="shared" ca="1" si="88"/>
        <v>56293.26134948602</v>
      </c>
      <c r="J51" s="13">
        <f t="shared" ca="1" si="88"/>
        <v>59187.737383743479</v>
      </c>
      <c r="K51" s="13">
        <f t="shared" ca="1" si="88"/>
        <v>62252.409231452839</v>
      </c>
      <c r="L51" s="13">
        <f t="shared" ca="1" si="88"/>
        <v>65497.605217047887</v>
      </c>
      <c r="M51" s="13">
        <f t="shared" ca="1" si="88"/>
        <v>68934.259370894375</v>
      </c>
      <c r="Q51" t="str">
        <f t="shared" si="78"/>
        <v>Entry Multiple</v>
      </c>
      <c r="R51" s="13">
        <f t="shared" si="79"/>
        <v>7</v>
      </c>
      <c r="S51" s="19">
        <v>1</v>
      </c>
      <c r="T51" s="8">
        <v>2.2113022763761592E-2</v>
      </c>
      <c r="U51" s="47" t="str">
        <f t="shared" si="80"/>
        <v>||||||||||||||||||||||||||||||||||||||||||||||||||||||||||||||||||</v>
      </c>
    </row>
    <row r="52" spans="1:21" x14ac:dyDescent="0.35">
      <c r="B52" s="5" t="s">
        <v>47</v>
      </c>
      <c r="C52" s="13">
        <f>C51/C$15*365</f>
        <v>38.868786257222453</v>
      </c>
      <c r="D52" s="13">
        <f>C52+($M52-$C52)/10</f>
        <v>38.481907631500206</v>
      </c>
      <c r="E52" s="13">
        <f t="shared" ref="E52:L52" si="89">D52+($M52-$C52)/10</f>
        <v>38.09502900577796</v>
      </c>
      <c r="F52" s="13">
        <f t="shared" si="89"/>
        <v>37.708150380055713</v>
      </c>
      <c r="G52" s="13">
        <f t="shared" si="89"/>
        <v>37.321271754333466</v>
      </c>
      <c r="H52" s="13">
        <f t="shared" si="89"/>
        <v>36.934393128611219</v>
      </c>
      <c r="I52" s="13">
        <f t="shared" si="89"/>
        <v>36.547514502888973</v>
      </c>
      <c r="J52" s="13">
        <f t="shared" si="89"/>
        <v>36.160635877166726</v>
      </c>
      <c r="K52" s="13">
        <f t="shared" si="89"/>
        <v>35.773757251444479</v>
      </c>
      <c r="L52" s="13">
        <f t="shared" si="89"/>
        <v>35.386878625722233</v>
      </c>
      <c r="M52" s="13">
        <f>$S$18</f>
        <v>35</v>
      </c>
      <c r="Q52" t="str">
        <f t="shared" si="78"/>
        <v>Debt / EBITDA</v>
      </c>
      <c r="R52" s="13">
        <f t="shared" si="79"/>
        <v>6</v>
      </c>
      <c r="S52" s="19">
        <v>1</v>
      </c>
      <c r="T52" s="8">
        <v>0</v>
      </c>
      <c r="U52" s="47" t="str">
        <f t="shared" si="80"/>
        <v/>
      </c>
    </row>
    <row r="53" spans="1:21" x14ac:dyDescent="0.35">
      <c r="B53" t="s">
        <v>48</v>
      </c>
      <c r="C53" s="18">
        <v>73419</v>
      </c>
      <c r="D53" s="13">
        <f ca="1">D54/365*D$15</f>
        <v>62699.099971054115</v>
      </c>
      <c r="E53" s="13">
        <f t="shared" ref="E53:M53" ca="1" si="90">E54/365*E$15</f>
        <v>57505.630073201319</v>
      </c>
      <c r="F53" s="13">
        <f t="shared" ca="1" si="90"/>
        <v>51486.137046794523</v>
      </c>
      <c r="G53" s="13">
        <f t="shared" ca="1" si="90"/>
        <v>54635.254098042744</v>
      </c>
      <c r="H53" s="13">
        <f t="shared" ca="1" si="90"/>
        <v>58004.719500856474</v>
      </c>
      <c r="I53" s="13">
        <f t="shared" ca="1" si="90"/>
        <v>61611.04208061668</v>
      </c>
      <c r="J53" s="13">
        <f t="shared" ca="1" si="90"/>
        <v>65472.009490980199</v>
      </c>
      <c r="K53" s="13">
        <f t="shared" ca="1" si="90"/>
        <v>69606.78890271073</v>
      </c>
      <c r="L53" s="13">
        <f t="shared" ca="1" si="90"/>
        <v>74036.035684072544</v>
      </c>
      <c r="M53" s="13">
        <f t="shared" ca="1" si="90"/>
        <v>78782.010709593582</v>
      </c>
      <c r="Q53" t="str">
        <f t="shared" si="78"/>
        <v>Interest Rate %</v>
      </c>
      <c r="R53" s="8">
        <f t="shared" si="79"/>
        <v>0.09</v>
      </c>
      <c r="S53" s="11">
        <v>0.01</v>
      </c>
      <c r="T53" s="8">
        <v>0</v>
      </c>
      <c r="U53" s="47" t="str">
        <f t="shared" si="80"/>
        <v/>
      </c>
    </row>
    <row r="54" spans="1:21" x14ac:dyDescent="0.35">
      <c r="B54" s="5" t="s">
        <v>49</v>
      </c>
      <c r="C54" s="13">
        <f>C53/C$15*365</f>
        <v>62.158732699172624</v>
      </c>
      <c r="D54" s="13">
        <f>C54+($F54-$C54)/3</f>
        <v>54.772488466115085</v>
      </c>
      <c r="E54" s="13">
        <f>D54+($F54-$C54)/3</f>
        <v>47.386244233057546</v>
      </c>
      <c r="F54" s="19">
        <f>$S$19</f>
        <v>40</v>
      </c>
      <c r="G54" s="19">
        <f>F54</f>
        <v>40</v>
      </c>
      <c r="H54" s="19">
        <f t="shared" ref="H54:M54" si="91">G54</f>
        <v>40</v>
      </c>
      <c r="I54" s="19">
        <f t="shared" si="91"/>
        <v>40</v>
      </c>
      <c r="J54" s="19">
        <f t="shared" si="91"/>
        <v>40</v>
      </c>
      <c r="K54" s="19">
        <f t="shared" si="91"/>
        <v>40</v>
      </c>
      <c r="L54" s="19">
        <f t="shared" si="91"/>
        <v>40</v>
      </c>
      <c r="M54" s="19">
        <f t="shared" si="91"/>
        <v>40</v>
      </c>
      <c r="Q54" t="str">
        <f t="shared" si="78"/>
        <v>Exit Multiple</v>
      </c>
      <c r="R54" s="13">
        <f t="shared" si="79"/>
        <v>6</v>
      </c>
      <c r="S54" s="13">
        <v>1</v>
      </c>
      <c r="T54" s="8">
        <v>1.1574121160270678E-2</v>
      </c>
      <c r="U54" s="47" t="str">
        <f t="shared" si="80"/>
        <v>||||||||||||||||||||||||||||||||||</v>
      </c>
    </row>
    <row r="55" spans="1:21" x14ac:dyDescent="0.35">
      <c r="B55" t="s">
        <v>50</v>
      </c>
      <c r="C55" s="18">
        <v>10172</v>
      </c>
      <c r="D55" s="13">
        <f ca="1">D56*D$15</f>
        <v>9858.2283149278283</v>
      </c>
      <c r="E55" s="13">
        <f t="shared" ref="E55:M55" ca="1" si="92">E56*E$15</f>
        <v>10451.006449990606</v>
      </c>
      <c r="F55" s="13">
        <f t="shared" ca="1" si="92"/>
        <v>11084.863640636722</v>
      </c>
      <c r="G55" s="13">
        <f t="shared" ca="1" si="92"/>
        <v>11762.862323462041</v>
      </c>
      <c r="H55" s="13">
        <f t="shared" ca="1" si="92"/>
        <v>12488.301571275228</v>
      </c>
      <c r="I55" s="13">
        <f t="shared" ca="1" si="92"/>
        <v>13264.735701582154</v>
      </c>
      <c r="J55" s="13">
        <f t="shared" ca="1" si="92"/>
        <v>14095.994361091287</v>
      </c>
      <c r="K55" s="13">
        <f t="shared" ca="1" si="92"/>
        <v>14986.20420382018</v>
      </c>
      <c r="L55" s="13">
        <f t="shared" ca="1" si="92"/>
        <v>15939.812289769628</v>
      </c>
      <c r="M55" s="13">
        <f t="shared" ca="1" si="92"/>
        <v>16961.611341268741</v>
      </c>
      <c r="Q55" t="str">
        <f t="shared" si="78"/>
        <v>Discount Rate</v>
      </c>
      <c r="R55" s="11">
        <f t="shared" si="79"/>
        <v>0.12</v>
      </c>
      <c r="S55" s="11">
        <v>0.01</v>
      </c>
      <c r="T55" s="8">
        <v>0</v>
      </c>
      <c r="U55" s="47" t="str">
        <f t="shared" si="80"/>
        <v/>
      </c>
    </row>
    <row r="56" spans="1:21" x14ac:dyDescent="0.35">
      <c r="B56" s="5" t="s">
        <v>51</v>
      </c>
      <c r="C56" s="8">
        <f>C55/C$15</f>
        <v>2.3594304151270756E-2</v>
      </c>
      <c r="D56" s="12">
        <f>C56</f>
        <v>2.3594304151270756E-2</v>
      </c>
      <c r="E56" s="12">
        <f t="shared" ref="E56:M56" si="93">D56</f>
        <v>2.3594304151270756E-2</v>
      </c>
      <c r="F56" s="12">
        <f t="shared" si="93"/>
        <v>2.3594304151270756E-2</v>
      </c>
      <c r="G56" s="12">
        <f t="shared" si="93"/>
        <v>2.3594304151270756E-2</v>
      </c>
      <c r="H56" s="12">
        <f t="shared" si="93"/>
        <v>2.3594304151270756E-2</v>
      </c>
      <c r="I56" s="12">
        <f t="shared" si="93"/>
        <v>2.3594304151270756E-2</v>
      </c>
      <c r="J56" s="12">
        <f t="shared" si="93"/>
        <v>2.3594304151270756E-2</v>
      </c>
      <c r="K56" s="12">
        <f t="shared" si="93"/>
        <v>2.3594304151270756E-2</v>
      </c>
      <c r="L56" s="12">
        <f t="shared" si="93"/>
        <v>2.3594304151270756E-2</v>
      </c>
      <c r="M56" s="12">
        <f t="shared" si="93"/>
        <v>2.3594304151270756E-2</v>
      </c>
    </row>
    <row r="58" spans="1:21" x14ac:dyDescent="0.35">
      <c r="B58" s="33" t="s">
        <v>52</v>
      </c>
      <c r="C58" s="34">
        <v>16981</v>
      </c>
      <c r="D58" s="13">
        <f ca="1">D59/365*D$15</f>
        <v>16757.496435716319</v>
      </c>
      <c r="E58" s="13">
        <f t="shared" ref="E58:M58" ca="1" si="94">E59/365*E$15</f>
        <v>18083.489522632255</v>
      </c>
      <c r="F58" s="13">
        <f t="shared" ca="1" si="94"/>
        <v>19517.928072872175</v>
      </c>
      <c r="G58" s="13">
        <f t="shared" ca="1" si="94"/>
        <v>21070.051697338262</v>
      </c>
      <c r="H58" s="13">
        <f t="shared" ca="1" si="94"/>
        <v>22749.904239873049</v>
      </c>
      <c r="I58" s="13">
        <f t="shared" ca="1" si="94"/>
        <v>24568.404285357352</v>
      </c>
      <c r="J58" s="13">
        <f t="shared" ca="1" si="94"/>
        <v>26537.421847721871</v>
      </c>
      <c r="K58" s="13">
        <f t="shared" ca="1" si="94"/>
        <v>28669.861777552218</v>
      </c>
      <c r="L58" s="13">
        <f t="shared" ca="1" si="94"/>
        <v>30979.754475864185</v>
      </c>
      <c r="M58" s="13">
        <f t="shared" ca="1" si="94"/>
        <v>33482.354551577278</v>
      </c>
      <c r="Q58" t="str" cm="1">
        <f t="array" ref="Q58:Q62">TRANSPOSE(V5:Z5)</f>
        <v>Yield</v>
      </c>
      <c r="R58" s="12">
        <f>S58</f>
        <v>9.4028424466585436E-2</v>
      </c>
      <c r="S58" s="8" cm="1">
        <f t="array" ref="S58:S62">TRANSPOSE(V32:Z32)</f>
        <v>9.4028424466585436E-2</v>
      </c>
    </row>
    <row r="59" spans="1:21" x14ac:dyDescent="0.35">
      <c r="B59" s="32" t="s">
        <v>53</v>
      </c>
      <c r="C59" s="13">
        <f>C58/C$15*365</f>
        <v>14.37662512380515</v>
      </c>
      <c r="D59" s="13">
        <f ca="1">C59+($M59-$C59)/10</f>
        <v>14.638962611424635</v>
      </c>
      <c r="E59" s="13">
        <f t="shared" ref="E59:L59" ca="1" si="95">D59+($M59-$C59)/10</f>
        <v>14.90130009904412</v>
      </c>
      <c r="F59" s="13">
        <f t="shared" ca="1" si="95"/>
        <v>15.163637586663604</v>
      </c>
      <c r="G59" s="13">
        <f t="shared" ca="1" si="95"/>
        <v>15.425975074283089</v>
      </c>
      <c r="H59" s="13">
        <f t="shared" ca="1" si="95"/>
        <v>15.688312561902574</v>
      </c>
      <c r="I59" s="13">
        <f t="shared" ca="1" si="95"/>
        <v>15.950650049522059</v>
      </c>
      <c r="J59" s="13">
        <f t="shared" ca="1" si="95"/>
        <v>16.212987537141544</v>
      </c>
      <c r="K59" s="13">
        <f t="shared" ca="1" si="95"/>
        <v>16.47532502476103</v>
      </c>
      <c r="L59" s="13">
        <f t="shared" ca="1" si="95"/>
        <v>16.737662512380517</v>
      </c>
      <c r="M59" s="19">
        <f ca="1">$R$20</f>
        <v>17</v>
      </c>
      <c r="Q59" t="str">
        <v>Growth</v>
      </c>
      <c r="R59" s="12">
        <f>S59-S58</f>
        <v>5.7246729836762267E-2</v>
      </c>
      <c r="S59" s="8">
        <v>0.1512751543033477</v>
      </c>
    </row>
    <row r="60" spans="1:21" x14ac:dyDescent="0.35">
      <c r="B60" t="s">
        <v>54</v>
      </c>
      <c r="C60" s="35">
        <v>18810</v>
      </c>
      <c r="D60" s="13">
        <f ca="1">D61*D$15</f>
        <v>18229.775324792809</v>
      </c>
      <c r="E60" s="13">
        <f t="shared" ref="E60:M60" ca="1" si="96">E61*E$15</f>
        <v>19325.937015761236</v>
      </c>
      <c r="F60" s="13">
        <f t="shared" ca="1" si="96"/>
        <v>20498.061844315449</v>
      </c>
      <c r="G60" s="13">
        <f t="shared" ca="1" si="96"/>
        <v>21751.81284942204</v>
      </c>
      <c r="H60" s="13">
        <f t="shared" ca="1" si="96"/>
        <v>23093.290656280675</v>
      </c>
      <c r="I60" s="13">
        <f t="shared" ca="1" si="96"/>
        <v>24529.067887019301</v>
      </c>
      <c r="J60" s="13">
        <f t="shared" ca="1" si="96"/>
        <v>26066.226300838294</v>
      </c>
      <c r="K60" s="13">
        <f t="shared" ca="1" si="96"/>
        <v>27712.396881032008</v>
      </c>
      <c r="L60" s="13">
        <f t="shared" ca="1" si="96"/>
        <v>29475.803103673486</v>
      </c>
      <c r="M60" s="13">
        <f t="shared" ca="1" si="96"/>
        <v>31365.307641492825</v>
      </c>
      <c r="Q60" t="str">
        <v>Margin Expansion</v>
      </c>
      <c r="R60" s="12">
        <f t="shared" ref="R60:R62" si="97">S60-S59</f>
        <v>1.3687430147945268E-2</v>
      </c>
      <c r="S60" s="8">
        <v>0.16496258445129297</v>
      </c>
    </row>
    <row r="61" spans="1:21" x14ac:dyDescent="0.35">
      <c r="B61" s="32" t="s">
        <v>55</v>
      </c>
      <c r="C61" s="8">
        <f>C60/C$15</f>
        <v>4.3630442497581884E-2</v>
      </c>
      <c r="D61" s="12">
        <f>C61</f>
        <v>4.3630442497581884E-2</v>
      </c>
      <c r="E61" s="12">
        <f t="shared" ref="E61:M61" si="98">D61</f>
        <v>4.3630442497581884E-2</v>
      </c>
      <c r="F61" s="12">
        <f t="shared" si="98"/>
        <v>4.3630442497581884E-2</v>
      </c>
      <c r="G61" s="12">
        <f t="shared" si="98"/>
        <v>4.3630442497581884E-2</v>
      </c>
      <c r="H61" s="12">
        <f t="shared" si="98"/>
        <v>4.3630442497581884E-2</v>
      </c>
      <c r="I61" s="12">
        <f t="shared" si="98"/>
        <v>4.3630442497581884E-2</v>
      </c>
      <c r="J61" s="12">
        <f t="shared" si="98"/>
        <v>4.3630442497581884E-2</v>
      </c>
      <c r="K61" s="12">
        <f t="shared" si="98"/>
        <v>4.3630442497581884E-2</v>
      </c>
      <c r="L61" s="12">
        <f t="shared" si="98"/>
        <v>4.3630442497581884E-2</v>
      </c>
      <c r="M61" s="12">
        <f t="shared" si="98"/>
        <v>4.3630442497581884E-2</v>
      </c>
      <c r="Q61" t="str">
        <v>Synergies</v>
      </c>
      <c r="R61" s="12">
        <f t="shared" si="97"/>
        <v>1.2439367597514517E-2</v>
      </c>
      <c r="S61" s="8">
        <v>0.17740195204880749</v>
      </c>
    </row>
    <row r="62" spans="1:21" x14ac:dyDescent="0.35">
      <c r="Q62" t="str">
        <v>Multiple Expansion</v>
      </c>
      <c r="R62" s="12">
        <f t="shared" si="97"/>
        <v>0</v>
      </c>
      <c r="S62" s="8">
        <v>0.17740195204880749</v>
      </c>
    </row>
    <row r="63" spans="1:21" x14ac:dyDescent="0.35">
      <c r="B63" t="s">
        <v>45</v>
      </c>
      <c r="C63" s="13">
        <f>SUM(C51,C53,C55)-SUM(C58,C60)</f>
        <v>93710</v>
      </c>
      <c r="D63" s="13">
        <f t="shared" ref="D63:M63" ca="1" si="99">SUM(D51,D53,D55)-SUM(D58,D60)</f>
        <v>81621.02154885247</v>
      </c>
      <c r="E63" s="13">
        <f t="shared" ca="1" si="99"/>
        <v>76777.475351680623</v>
      </c>
      <c r="F63" s="13">
        <f t="shared" ca="1" si="99"/>
        <v>71091.185726460768</v>
      </c>
      <c r="G63" s="13">
        <f t="shared" ca="1" si="99"/>
        <v>74552.681013747351</v>
      </c>
      <c r="H63" s="13">
        <f t="shared" ca="1" si="99"/>
        <v>78209.05400996434</v>
      </c>
      <c r="I63" s="13">
        <f t="shared" ca="1" si="99"/>
        <v>82071.566959308213</v>
      </c>
      <c r="J63" s="13">
        <f t="shared" ca="1" si="99"/>
        <v>86152.093087254791</v>
      </c>
      <c r="K63" s="13">
        <f t="shared" ca="1" si="99"/>
        <v>90463.143679399524</v>
      </c>
      <c r="L63" s="13">
        <f t="shared" ca="1" si="99"/>
        <v>95017.895611352375</v>
      </c>
      <c r="M63" s="13">
        <f t="shared" ca="1" si="99"/>
        <v>99830.21922868659</v>
      </c>
      <c r="Q63" t="s">
        <v>76</v>
      </c>
      <c r="R63" s="12">
        <f>S62</f>
        <v>0.17740195204880749</v>
      </c>
    </row>
    <row r="66" spans="1:13" x14ac:dyDescent="0.35">
      <c r="A66" t="s">
        <v>0</v>
      </c>
      <c r="B66" s="1" t="s">
        <v>56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8" spans="1:13" x14ac:dyDescent="0.35">
      <c r="B68" t="s">
        <v>102</v>
      </c>
      <c r="C68" s="19">
        <f ca="1">-C93</f>
        <v>-362637.53016395267</v>
      </c>
    </row>
    <row r="69" spans="1:13" x14ac:dyDescent="0.35">
      <c r="B69" t="s">
        <v>57</v>
      </c>
      <c r="D69" s="19">
        <f ca="1">D44</f>
        <v>44568.459468732057</v>
      </c>
      <c r="E69" s="19">
        <f t="shared" ref="E69:M69" ca="1" si="100">E44</f>
        <v>39745.218449753651</v>
      </c>
      <c r="F69" s="19">
        <f t="shared" ca="1" si="100"/>
        <v>43204.742141877323</v>
      </c>
      <c r="G69" s="19">
        <f t="shared" ca="1" si="100"/>
        <v>36884.623966555519</v>
      </c>
      <c r="H69" s="19">
        <f t="shared" ca="1" si="100"/>
        <v>39745.989101780287</v>
      </c>
      <c r="I69" s="19">
        <f t="shared" ca="1" si="100"/>
        <v>42843.869764035044</v>
      </c>
      <c r="J69" s="19">
        <f t="shared" ca="1" si="100"/>
        <v>46198.498837471525</v>
      </c>
      <c r="K69" s="19">
        <f t="shared" ca="1" si="100"/>
        <v>49831.865718522065</v>
      </c>
      <c r="L69" s="19">
        <f t="shared" ca="1" si="100"/>
        <v>53767.86943916545</v>
      </c>
      <c r="M69" s="19">
        <f t="shared" ca="1" si="100"/>
        <v>58032.485123559003</v>
      </c>
    </row>
    <row r="70" spans="1:13" x14ac:dyDescent="0.35">
      <c r="B70" t="s">
        <v>58</v>
      </c>
      <c r="M70" s="13">
        <f ca="1">M40*$R$24</f>
        <v>723554.50349825621</v>
      </c>
    </row>
    <row r="71" spans="1:13" x14ac:dyDescent="0.35">
      <c r="B71" s="6" t="s">
        <v>59</v>
      </c>
      <c r="C71" s="25">
        <f ca="1">SUM(C68:C70)</f>
        <v>-362637.53016395267</v>
      </c>
      <c r="D71" s="25">
        <f t="shared" ref="D71:M71" ca="1" si="101">SUM(D68:D70)</f>
        <v>44568.459468732057</v>
      </c>
      <c r="E71" s="25">
        <f t="shared" ca="1" si="101"/>
        <v>39745.218449753651</v>
      </c>
      <c r="F71" s="25">
        <f t="shared" ca="1" si="101"/>
        <v>43204.742141877323</v>
      </c>
      <c r="G71" s="25">
        <f t="shared" ca="1" si="101"/>
        <v>36884.623966555519</v>
      </c>
      <c r="H71" s="25">
        <f t="shared" ca="1" si="101"/>
        <v>39745.989101780287</v>
      </c>
      <c r="I71" s="25">
        <f t="shared" ca="1" si="101"/>
        <v>42843.869764035044</v>
      </c>
      <c r="J71" s="25">
        <f t="shared" ca="1" si="101"/>
        <v>46198.498837471525</v>
      </c>
      <c r="K71" s="25">
        <f t="shared" ca="1" si="101"/>
        <v>49831.865718522065</v>
      </c>
      <c r="L71" s="25">
        <f t="shared" ca="1" si="101"/>
        <v>53767.86943916545</v>
      </c>
      <c r="M71" s="25">
        <f t="shared" ca="1" si="101"/>
        <v>781586.98862181522</v>
      </c>
    </row>
    <row r="73" spans="1:13" x14ac:dyDescent="0.35">
      <c r="B73" t="s">
        <v>102</v>
      </c>
      <c r="C73" s="19">
        <f ca="1">-C92</f>
        <v>-51805.361451993231</v>
      </c>
    </row>
    <row r="74" spans="1:13" x14ac:dyDescent="0.35">
      <c r="B74" t="s">
        <v>57</v>
      </c>
      <c r="D74" s="13">
        <f ca="1">D69-$C$91*$R$23*60%</f>
        <v>27783.522358286249</v>
      </c>
      <c r="E74" s="13">
        <f t="shared" ref="E74:M74" ca="1" si="102">E69-$C$91*$R$23*60%</f>
        <v>22960.281339307843</v>
      </c>
      <c r="F74" s="13">
        <f t="shared" ca="1" si="102"/>
        <v>26419.805031431515</v>
      </c>
      <c r="G74" s="13">
        <f t="shared" ca="1" si="102"/>
        <v>20099.686856109711</v>
      </c>
      <c r="H74" s="13">
        <f t="shared" ca="1" si="102"/>
        <v>22961.05199133448</v>
      </c>
      <c r="I74" s="13">
        <f t="shared" ca="1" si="102"/>
        <v>26058.932653589236</v>
      </c>
      <c r="J74" s="13">
        <f t="shared" ca="1" si="102"/>
        <v>29413.561727025717</v>
      </c>
      <c r="K74" s="13">
        <f t="shared" ca="1" si="102"/>
        <v>33046.928608076254</v>
      </c>
      <c r="L74" s="13">
        <f t="shared" ca="1" si="102"/>
        <v>36982.932328719646</v>
      </c>
      <c r="M74" s="13">
        <f t="shared" ca="1" si="102"/>
        <v>41247.548013113192</v>
      </c>
    </row>
    <row r="75" spans="1:13" x14ac:dyDescent="0.35">
      <c r="B75" t="s">
        <v>58</v>
      </c>
      <c r="M75" s="19">
        <f ca="1">M70-$C$91</f>
        <v>412722.33478629676</v>
      </c>
    </row>
    <row r="76" spans="1:13" x14ac:dyDescent="0.35">
      <c r="B76" s="7" t="s">
        <v>59</v>
      </c>
      <c r="C76" s="19">
        <f ca="1">SUM(C73:C75)</f>
        <v>-51805.361451993231</v>
      </c>
      <c r="D76" s="19">
        <f t="shared" ref="D76:M76" ca="1" si="103">SUM(D73:D75)</f>
        <v>27783.522358286249</v>
      </c>
      <c r="E76" s="19">
        <f t="shared" ca="1" si="103"/>
        <v>22960.281339307843</v>
      </c>
      <c r="F76" s="19">
        <f t="shared" ca="1" si="103"/>
        <v>26419.805031431515</v>
      </c>
      <c r="G76" s="19">
        <f t="shared" ca="1" si="103"/>
        <v>20099.686856109711</v>
      </c>
      <c r="H76" s="19">
        <f t="shared" ca="1" si="103"/>
        <v>22961.05199133448</v>
      </c>
      <c r="I76" s="19">
        <f t="shared" ca="1" si="103"/>
        <v>26058.932653589236</v>
      </c>
      <c r="J76" s="19">
        <f t="shared" ca="1" si="103"/>
        <v>29413.561727025717</v>
      </c>
      <c r="K76" s="19">
        <f t="shared" ca="1" si="103"/>
        <v>33046.928608076254</v>
      </c>
      <c r="L76" s="19">
        <f t="shared" ca="1" si="103"/>
        <v>36982.932328719646</v>
      </c>
      <c r="M76" s="19">
        <f t="shared" ca="1" si="103"/>
        <v>453969.88279940997</v>
      </c>
    </row>
    <row r="77" spans="1:13" x14ac:dyDescent="0.35">
      <c r="B77" s="7"/>
    </row>
    <row r="78" spans="1:13" x14ac:dyDescent="0.35">
      <c r="B78" s="36" t="s">
        <v>60</v>
      </c>
      <c r="C78" s="38">
        <f ca="1">IRR(C71:M71)</f>
        <v>0.16582783088853681</v>
      </c>
    </row>
    <row r="79" spans="1:13" x14ac:dyDescent="0.35">
      <c r="B79" s="37" t="s">
        <v>61</v>
      </c>
      <c r="C79" s="39">
        <f ca="1">IRR(C76:M76)</f>
        <v>0.54521164571814329</v>
      </c>
    </row>
    <row r="81" spans="1:15" x14ac:dyDescent="0.35">
      <c r="B81" s="41" t="s">
        <v>67</v>
      </c>
      <c r="C81" s="42">
        <f ca="1">NPV($R$25,D71:M71)</f>
        <v>481993.45363172394</v>
      </c>
    </row>
    <row r="83" spans="1:15" x14ac:dyDescent="0.35">
      <c r="A83" t="s">
        <v>0</v>
      </c>
      <c r="B83" s="1" t="s">
        <v>103</v>
      </c>
      <c r="C83" s="23"/>
      <c r="D83" s="23"/>
      <c r="E83" s="23"/>
    </row>
    <row r="84" spans="1:15" x14ac:dyDescent="0.35">
      <c r="B84" s="28"/>
      <c r="C84" s="28" t="s">
        <v>22</v>
      </c>
      <c r="D84" s="28" t="s">
        <v>38</v>
      </c>
      <c r="E84" s="28" t="s">
        <v>39</v>
      </c>
      <c r="L84" t="s">
        <v>39</v>
      </c>
    </row>
    <row r="85" spans="1:15" x14ac:dyDescent="0.35">
      <c r="B85" t="s">
        <v>36</v>
      </c>
      <c r="C85" s="13">
        <f>C40</f>
        <v>51805.361451993238</v>
      </c>
      <c r="D85" s="13">
        <f ca="1">C85*E85</f>
        <v>310832.16871195944</v>
      </c>
      <c r="E85" s="26">
        <f ca="1">$R$22</f>
        <v>6</v>
      </c>
      <c r="L85">
        <f ca="1">D85/C85</f>
        <v>6</v>
      </c>
    </row>
    <row r="86" spans="1:15" x14ac:dyDescent="0.35">
      <c r="B86" t="s">
        <v>37</v>
      </c>
      <c r="C86" s="13">
        <v>68786</v>
      </c>
      <c r="D86" s="13">
        <v>140047</v>
      </c>
      <c r="E86" s="26">
        <f>D86/C86</f>
        <v>2.0359811589567642</v>
      </c>
    </row>
    <row r="87" spans="1:15" x14ac:dyDescent="0.35">
      <c r="B87" s="6" t="s">
        <v>104</v>
      </c>
      <c r="C87" s="14">
        <f>SUM(C85:C86)</f>
        <v>120591.36145199323</v>
      </c>
      <c r="D87" s="14">
        <f ca="1">SUM(D85:D86)</f>
        <v>450879.16871195944</v>
      </c>
      <c r="E87" s="27">
        <f ca="1">D87/C87</f>
        <v>3.7389010562871206</v>
      </c>
    </row>
    <row r="89" spans="1:15" x14ac:dyDescent="0.35">
      <c r="A89" t="s">
        <v>0</v>
      </c>
      <c r="B89" s="1" t="s">
        <v>40</v>
      </c>
      <c r="C89" s="23"/>
      <c r="D89" s="23"/>
      <c r="E89" s="23"/>
    </row>
    <row r="90" spans="1:15" x14ac:dyDescent="0.35">
      <c r="B90" s="29"/>
      <c r="C90" s="28" t="s">
        <v>42</v>
      </c>
      <c r="D90" s="28" t="s">
        <v>43</v>
      </c>
      <c r="E90" s="28" t="s">
        <v>39</v>
      </c>
    </row>
    <row r="91" spans="1:15" x14ac:dyDescent="0.35">
      <c r="B91" t="s">
        <v>38</v>
      </c>
      <c r="C91" s="19">
        <f ca="1">D85</f>
        <v>310832.16871195944</v>
      </c>
      <c r="D91" s="30">
        <f ca="1">C91/$C$93</f>
        <v>0.85714285714285721</v>
      </c>
      <c r="E91" s="26">
        <f ca="1">$E$85</f>
        <v>6</v>
      </c>
    </row>
    <row r="92" spans="1:15" x14ac:dyDescent="0.35">
      <c r="B92" t="s">
        <v>44</v>
      </c>
      <c r="C92" s="19">
        <f ca="1">C93-C91</f>
        <v>51805.361451993231</v>
      </c>
      <c r="D92" s="31">
        <f t="shared" ref="D92:D93" ca="1" si="104">C92/$C$93</f>
        <v>0.14285714285714282</v>
      </c>
      <c r="E92" s="26">
        <f ca="1">E93-E91</f>
        <v>1</v>
      </c>
    </row>
    <row r="93" spans="1:15" x14ac:dyDescent="0.35">
      <c r="B93" s="6" t="s">
        <v>41</v>
      </c>
      <c r="C93" s="14">
        <f ca="1">E93*C85</f>
        <v>362637.53016395267</v>
      </c>
      <c r="D93" s="30">
        <f t="shared" ca="1" si="104"/>
        <v>1</v>
      </c>
      <c r="E93" s="27">
        <f ca="1">$R$21</f>
        <v>7</v>
      </c>
    </row>
    <row r="95" spans="1:15" ht="16" x14ac:dyDescent="0.5">
      <c r="B95" s="46" t="s">
        <v>2</v>
      </c>
      <c r="C95" s="61">
        <v>39082</v>
      </c>
      <c r="D95" s="61">
        <f>C95+365</f>
        <v>39447</v>
      </c>
      <c r="E95" s="61">
        <f t="shared" ref="E95:M95" si="105">D95+365</f>
        <v>39812</v>
      </c>
      <c r="F95" s="61">
        <f t="shared" si="105"/>
        <v>40177</v>
      </c>
      <c r="G95" s="61">
        <f t="shared" si="105"/>
        <v>40542</v>
      </c>
      <c r="H95" s="61">
        <f t="shared" si="105"/>
        <v>40907</v>
      </c>
      <c r="I95" s="61">
        <f t="shared" si="105"/>
        <v>41272</v>
      </c>
      <c r="J95" s="61">
        <f t="shared" si="105"/>
        <v>41637</v>
      </c>
      <c r="K95" s="61">
        <f t="shared" si="105"/>
        <v>42002</v>
      </c>
      <c r="L95" s="61">
        <f t="shared" si="105"/>
        <v>42367</v>
      </c>
      <c r="M95" s="61">
        <f t="shared" si="105"/>
        <v>42732</v>
      </c>
      <c r="N95" s="61" t="s">
        <v>87</v>
      </c>
      <c r="O95" s="61" t="s">
        <v>43</v>
      </c>
    </row>
    <row r="97" spans="2:15" x14ac:dyDescent="0.35">
      <c r="B97" s="7" t="s">
        <v>3</v>
      </c>
    </row>
    <row r="98" spans="2:15" x14ac:dyDescent="0.35">
      <c r="B98" s="24" t="str">
        <f>B7</f>
        <v>Men's Athletics</v>
      </c>
      <c r="C98" s="17">
        <f t="shared" ref="C98:M98" si="106">C7</f>
        <v>219093</v>
      </c>
      <c r="D98" s="17">
        <f t="shared" ca="1" si="106"/>
        <v>236620.44</v>
      </c>
      <c r="E98" s="17">
        <f t="shared" ca="1" si="106"/>
        <v>255550.07520000002</v>
      </c>
      <c r="F98" s="17">
        <f t="shared" ca="1" si="106"/>
        <v>275994.08121600002</v>
      </c>
      <c r="G98" s="17">
        <f t="shared" ca="1" si="106"/>
        <v>298073.60771328001</v>
      </c>
      <c r="H98" s="17">
        <f t="shared" ca="1" si="106"/>
        <v>321919.49633034243</v>
      </c>
      <c r="I98" s="17">
        <f t="shared" ca="1" si="106"/>
        <v>347673.05603676982</v>
      </c>
      <c r="J98" s="17">
        <f t="shared" ca="1" si="106"/>
        <v>375486.90051971143</v>
      </c>
      <c r="K98" s="17">
        <f t="shared" ca="1" si="106"/>
        <v>405525.8525612884</v>
      </c>
      <c r="L98" s="17">
        <f t="shared" ca="1" si="106"/>
        <v>437967.9207661915</v>
      </c>
      <c r="M98" s="17">
        <f t="shared" ca="1" si="106"/>
        <v>473005.35442748683</v>
      </c>
      <c r="N98" s="58">
        <f ca="1">_xlfn.RRI(10,C98,M98)</f>
        <v>8.0000000000000071E-2</v>
      </c>
      <c r="O98" s="8">
        <f ca="1">D98/$C$102</f>
        <v>0.54884925577738042</v>
      </c>
    </row>
    <row r="99" spans="2:15" x14ac:dyDescent="0.35">
      <c r="B99" t="str">
        <f>B9</f>
        <v>Men's Casual</v>
      </c>
      <c r="C99" s="13">
        <f t="shared" ref="C99:M99" si="107">C9</f>
        <v>51663</v>
      </c>
      <c r="D99" s="13">
        <f t="shared" ca="1" si="107"/>
        <v>52696.26</v>
      </c>
      <c r="E99" s="13">
        <f t="shared" ca="1" si="107"/>
        <v>53750.1852</v>
      </c>
      <c r="F99" s="13">
        <f t="shared" ca="1" si="107"/>
        <v>54825.188904000002</v>
      </c>
      <c r="G99" s="13">
        <f t="shared" ca="1" si="107"/>
        <v>55921.69268208</v>
      </c>
      <c r="H99" s="13">
        <f t="shared" ca="1" si="107"/>
        <v>57040.126535721603</v>
      </c>
      <c r="I99" s="13">
        <f t="shared" ca="1" si="107"/>
        <v>58180.929066436038</v>
      </c>
      <c r="J99" s="13">
        <f t="shared" ca="1" si="107"/>
        <v>59344.547647764761</v>
      </c>
      <c r="K99" s="13">
        <f t="shared" ca="1" si="107"/>
        <v>60531.438600720059</v>
      </c>
      <c r="L99" s="13">
        <f t="shared" ca="1" si="107"/>
        <v>61742.067372734462</v>
      </c>
      <c r="M99" s="13">
        <f t="shared" ca="1" si="107"/>
        <v>62976.908720189153</v>
      </c>
      <c r="N99" s="58">
        <f t="shared" ref="N99:N102" ca="1" si="108">_xlfn.RRI(10,C99,M99)</f>
        <v>2.0000000000000018E-2</v>
      </c>
      <c r="O99" s="8">
        <f t="shared" ref="O99:O101" si="109">C99/$C$102</f>
        <v>0.11983410689806342</v>
      </c>
    </row>
    <row r="100" spans="2:15" x14ac:dyDescent="0.35">
      <c r="B100" t="str">
        <f>B11</f>
        <v>Women Athletic</v>
      </c>
      <c r="C100" s="13">
        <f t="shared" ref="C100:M100" si="110">C11</f>
        <v>123563</v>
      </c>
      <c r="D100" s="13">
        <f t="shared" ca="1" si="110"/>
        <v>128505.52</v>
      </c>
      <c r="E100" s="13">
        <f t="shared" ca="1" si="110"/>
        <v>133645.7408</v>
      </c>
      <c r="F100" s="13">
        <f t="shared" ca="1" si="110"/>
        <v>138991.57043200001</v>
      </c>
      <c r="G100" s="13">
        <f t="shared" ca="1" si="110"/>
        <v>144551.23324928002</v>
      </c>
      <c r="H100" s="13">
        <f t="shared" ca="1" si="110"/>
        <v>150333.28257925122</v>
      </c>
      <c r="I100" s="13">
        <f t="shared" ca="1" si="110"/>
        <v>156346.61388242128</v>
      </c>
      <c r="J100" s="13">
        <f t="shared" ca="1" si="110"/>
        <v>162600.47843771815</v>
      </c>
      <c r="K100" s="13">
        <f t="shared" ca="1" si="110"/>
        <v>169104.49757522688</v>
      </c>
      <c r="L100" s="13">
        <f t="shared" ca="1" si="110"/>
        <v>175868.67747823597</v>
      </c>
      <c r="M100" s="13">
        <f t="shared" ca="1" si="110"/>
        <v>182903.42457736543</v>
      </c>
      <c r="N100" s="58">
        <f t="shared" ca="1" si="108"/>
        <v>4.0000000000000036E-2</v>
      </c>
      <c r="O100" s="8">
        <f t="shared" si="109"/>
        <v>0.28660863191540192</v>
      </c>
    </row>
    <row r="101" spans="2:15" x14ac:dyDescent="0.35">
      <c r="B101" t="str">
        <f>B13</f>
        <v>Women's Casual</v>
      </c>
      <c r="C101" s="13">
        <f t="shared" ref="C101:M101" si="111">C13</f>
        <v>36802</v>
      </c>
      <c r="D101" s="13">
        <f t="shared" si="111"/>
        <v>0</v>
      </c>
      <c r="E101" s="13">
        <f t="shared" si="111"/>
        <v>0</v>
      </c>
      <c r="F101" s="13">
        <f t="shared" si="111"/>
        <v>0</v>
      </c>
      <c r="G101" s="13">
        <f t="shared" si="111"/>
        <v>0</v>
      </c>
      <c r="H101" s="13">
        <f t="shared" si="111"/>
        <v>0</v>
      </c>
      <c r="I101" s="13">
        <f t="shared" si="111"/>
        <v>0</v>
      </c>
      <c r="J101" s="13">
        <f t="shared" si="111"/>
        <v>0</v>
      </c>
      <c r="K101" s="13">
        <f t="shared" si="111"/>
        <v>0</v>
      </c>
      <c r="L101" s="13">
        <f t="shared" si="111"/>
        <v>0</v>
      </c>
      <c r="M101" s="13">
        <f t="shared" si="111"/>
        <v>0</v>
      </c>
      <c r="N101" s="59" t="s">
        <v>86</v>
      </c>
      <c r="O101" s="8">
        <f t="shared" si="109"/>
        <v>8.5363505837108375E-2</v>
      </c>
    </row>
    <row r="102" spans="2:15" x14ac:dyDescent="0.35">
      <c r="B102" s="66" t="s">
        <v>9</v>
      </c>
      <c r="C102" s="67">
        <f>SUM(C98:C101)</f>
        <v>431121</v>
      </c>
      <c r="D102" s="67">
        <f t="shared" ref="D102:M102" ca="1" si="112">SUM(D98:D101)</f>
        <v>417822.22000000003</v>
      </c>
      <c r="E102" s="67">
        <f t="shared" ca="1" si="112"/>
        <v>442946.00120000006</v>
      </c>
      <c r="F102" s="67">
        <f t="shared" ca="1" si="112"/>
        <v>469810.84055199998</v>
      </c>
      <c r="G102" s="67">
        <f t="shared" ca="1" si="112"/>
        <v>498546.53364464</v>
      </c>
      <c r="H102" s="67">
        <f t="shared" ca="1" si="112"/>
        <v>529292.90544531518</v>
      </c>
      <c r="I102" s="67">
        <f t="shared" ca="1" si="112"/>
        <v>562200.59898562706</v>
      </c>
      <c r="J102" s="67">
        <f t="shared" ca="1" si="112"/>
        <v>597431.92660519434</v>
      </c>
      <c r="K102" s="67">
        <f t="shared" ca="1" si="112"/>
        <v>635161.78873723536</v>
      </c>
      <c r="L102" s="67">
        <f t="shared" ca="1" si="112"/>
        <v>675578.6656171619</v>
      </c>
      <c r="M102" s="67">
        <f t="shared" ca="1" si="112"/>
        <v>718885.68772504141</v>
      </c>
      <c r="N102" s="58">
        <f t="shared" ca="1" si="108"/>
        <v>5.2461131714812259E-2</v>
      </c>
    </row>
    <row r="104" spans="2:15" x14ac:dyDescent="0.35">
      <c r="B104" s="7" t="s">
        <v>88</v>
      </c>
    </row>
    <row r="105" spans="2:15" x14ac:dyDescent="0.35">
      <c r="B105" s="24" t="s">
        <v>4</v>
      </c>
      <c r="C105" s="60">
        <f>C20</f>
        <v>0.14341398401592018</v>
      </c>
      <c r="D105" s="60">
        <f t="shared" ref="D105:M105" ca="1" si="113">D20</f>
        <v>0.14507258561432815</v>
      </c>
      <c r="E105" s="60">
        <f t="shared" ca="1" si="113"/>
        <v>0.14673118721273612</v>
      </c>
      <c r="F105" s="60">
        <f t="shared" ca="1" si="113"/>
        <v>0.14838978881114409</v>
      </c>
      <c r="G105" s="60">
        <f t="shared" ca="1" si="113"/>
        <v>0.15004839040955206</v>
      </c>
      <c r="H105" s="60">
        <f t="shared" ca="1" si="113"/>
        <v>0.15170699200796003</v>
      </c>
      <c r="I105" s="60">
        <f t="shared" ca="1" si="113"/>
        <v>0.15336559360636801</v>
      </c>
      <c r="J105" s="60">
        <f t="shared" ca="1" si="113"/>
        <v>0.15502419520477598</v>
      </c>
      <c r="K105" s="60">
        <f t="shared" ca="1" si="113"/>
        <v>0.15668279680318395</v>
      </c>
      <c r="L105" s="60">
        <f t="shared" ca="1" si="113"/>
        <v>0.15834139840159192</v>
      </c>
      <c r="M105" s="60">
        <f t="shared" ca="1" si="113"/>
        <v>0.16</v>
      </c>
    </row>
    <row r="106" spans="2:15" x14ac:dyDescent="0.35">
      <c r="B106" t="s">
        <v>6</v>
      </c>
      <c r="C106" s="12">
        <f>C22</f>
        <v>0.1595339024059772</v>
      </c>
      <c r="D106" s="12">
        <f t="shared" ref="D106:M106" ca="1" si="114">D22</f>
        <v>0.1605805121653795</v>
      </c>
      <c r="E106" s="12">
        <f t="shared" ca="1" si="114"/>
        <v>0.16162712192478179</v>
      </c>
      <c r="F106" s="12">
        <f t="shared" ca="1" si="114"/>
        <v>0.16267373168418409</v>
      </c>
      <c r="G106" s="12">
        <f t="shared" ca="1" si="114"/>
        <v>0.16372034144358638</v>
      </c>
      <c r="H106" s="12">
        <f t="shared" ca="1" si="114"/>
        <v>0.16476695120298868</v>
      </c>
      <c r="I106" s="12">
        <f t="shared" ca="1" si="114"/>
        <v>0.16581356096239097</v>
      </c>
      <c r="J106" s="12">
        <f t="shared" ca="1" si="114"/>
        <v>0.16686017072179327</v>
      </c>
      <c r="K106" s="12">
        <f t="shared" ca="1" si="114"/>
        <v>0.16790678048119556</v>
      </c>
      <c r="L106" s="12">
        <f t="shared" ca="1" si="114"/>
        <v>0.16895339024059786</v>
      </c>
      <c r="M106" s="12">
        <f t="shared" ca="1" si="114"/>
        <v>0.17</v>
      </c>
    </row>
    <row r="107" spans="2:15" x14ac:dyDescent="0.35">
      <c r="B107" t="s">
        <v>7</v>
      </c>
      <c r="C107" s="12">
        <f>C24</f>
        <v>0.10280585612197826</v>
      </c>
      <c r="D107" s="12">
        <f t="shared" ref="D107:M107" ca="1" si="115">D24</f>
        <v>0.10452527050978043</v>
      </c>
      <c r="E107" s="12">
        <f t="shared" ca="1" si="115"/>
        <v>0.1062446848975826</v>
      </c>
      <c r="F107" s="12">
        <f t="shared" ca="1" si="115"/>
        <v>0.10796409928538477</v>
      </c>
      <c r="G107" s="12">
        <f t="shared" ca="1" si="115"/>
        <v>0.10968351367318693</v>
      </c>
      <c r="H107" s="12">
        <f t="shared" ca="1" si="115"/>
        <v>0.1114029280609891</v>
      </c>
      <c r="I107" s="12">
        <f t="shared" ca="1" si="115"/>
        <v>0.11312234244879127</v>
      </c>
      <c r="J107" s="12">
        <f t="shared" ca="1" si="115"/>
        <v>0.11484175683659344</v>
      </c>
      <c r="K107" s="12">
        <f t="shared" ca="1" si="115"/>
        <v>0.1165611712243956</v>
      </c>
      <c r="L107" s="12">
        <f t="shared" ca="1" si="115"/>
        <v>0.11828058561219777</v>
      </c>
      <c r="M107" s="12">
        <f t="shared" ca="1" si="115"/>
        <v>0.12</v>
      </c>
    </row>
    <row r="108" spans="2:15" x14ac:dyDescent="0.35">
      <c r="B108" t="s">
        <v>8</v>
      </c>
      <c r="C108" s="12">
        <f>C26</f>
        <v>-2.2906363784576927E-2</v>
      </c>
      <c r="D108" s="12">
        <f t="shared" ref="D108:M108" ca="1" si="116">D26</f>
        <v>-2.0615727406119236E-2</v>
      </c>
      <c r="E108" s="12">
        <f t="shared" ca="1" si="116"/>
        <v>-1.8325091027661541E-2</v>
      </c>
      <c r="F108" s="12">
        <f t="shared" ca="1" si="116"/>
        <v>-1.6034454649203847E-2</v>
      </c>
      <c r="G108" s="12">
        <f t="shared" ca="1" si="116"/>
        <v>-1.3743818270746154E-2</v>
      </c>
      <c r="H108" s="12">
        <f t="shared" ca="1" si="116"/>
        <v>-1.1453181892288462E-2</v>
      </c>
      <c r="I108" s="12">
        <f t="shared" ca="1" si="116"/>
        <v>-9.162545513830769E-3</v>
      </c>
      <c r="J108" s="12">
        <f t="shared" ca="1" si="116"/>
        <v>-6.8719091353730763E-3</v>
      </c>
      <c r="K108" s="12">
        <f t="shared" ca="1" si="116"/>
        <v>-4.5812727569153836E-3</v>
      </c>
      <c r="L108" s="12">
        <f t="shared" ca="1" si="116"/>
        <v>-2.2906363784576909E-3</v>
      </c>
      <c r="M108" s="12">
        <f t="shared" ca="1" si="116"/>
        <v>0</v>
      </c>
    </row>
    <row r="110" spans="2:15" x14ac:dyDescent="0.35">
      <c r="B110" t="s">
        <v>20</v>
      </c>
      <c r="C110" s="13">
        <f>C33</f>
        <v>0</v>
      </c>
      <c r="D110" s="13">
        <f t="shared" ref="D110:M110" ca="1" si="117">D33</f>
        <v>4178.2237999999998</v>
      </c>
      <c r="E110" s="13">
        <f t="shared" ca="1" si="117"/>
        <v>4429.4616120000001</v>
      </c>
      <c r="F110" s="13">
        <f t="shared" ca="1" si="117"/>
        <v>4698.1100055200004</v>
      </c>
      <c r="G110" s="13">
        <f t="shared" ca="1" si="117"/>
        <v>4985.4669364464007</v>
      </c>
      <c r="H110" s="13">
        <f t="shared" ca="1" si="117"/>
        <v>5292.9306544531537</v>
      </c>
      <c r="I110" s="13">
        <f t="shared" ca="1" si="117"/>
        <v>5622.0075898562718</v>
      </c>
      <c r="J110" s="13">
        <f t="shared" ca="1" si="117"/>
        <v>5974.320866051944</v>
      </c>
      <c r="K110" s="13">
        <f t="shared" ca="1" si="117"/>
        <v>6351.6194873723553</v>
      </c>
      <c r="L110" s="13">
        <f t="shared" ca="1" si="117"/>
        <v>6755.7882561716206</v>
      </c>
      <c r="M110" s="13">
        <f t="shared" ca="1" si="117"/>
        <v>7188.8584772504146</v>
      </c>
      <c r="N110" s="58">
        <f ca="1">_xlfn.RRI(9,D110,M110)</f>
        <v>6.2148791951573745E-2</v>
      </c>
    </row>
    <row r="111" spans="2:15" ht="15" thickBot="1" x14ac:dyDescent="0.4">
      <c r="B111" s="68" t="s">
        <v>22</v>
      </c>
      <c r="C111" s="69">
        <f>C35</f>
        <v>51805.361451993238</v>
      </c>
      <c r="D111" s="69">
        <f t="shared" ref="D111:M111" ca="1" si="118">D35</f>
        <v>63345.240517743499</v>
      </c>
      <c r="E111" s="69">
        <f t="shared" ca="1" si="118"/>
        <v>67936.19257789824</v>
      </c>
      <c r="F111" s="69">
        <f t="shared" ca="1" si="118"/>
        <v>72889.849138185775</v>
      </c>
      <c r="G111" s="69">
        <f t="shared" ca="1" si="118"/>
        <v>78236.234532405942</v>
      </c>
      <c r="H111" s="69">
        <f t="shared" ca="1" si="118"/>
        <v>84007.914553472554</v>
      </c>
      <c r="I111" s="69">
        <f t="shared" ca="1" si="118"/>
        <v>90240.213577800881</v>
      </c>
      <c r="J111" s="69">
        <f t="shared" ca="1" si="118"/>
        <v>96971.450286104533</v>
      </c>
      <c r="K111" s="69">
        <f t="shared" ca="1" si="118"/>
        <v>104243.19357206245</v>
      </c>
      <c r="L111" s="69">
        <f t="shared" ca="1" si="118"/>
        <v>112100.54036619238</v>
      </c>
      <c r="M111" s="69">
        <f t="shared" ca="1" si="118"/>
        <v>120592.41724970937</v>
      </c>
      <c r="N111" s="58">
        <f t="shared" ref="N111" ca="1" si="119">_xlfn.RRI(10,C111,M111)</f>
        <v>8.816443924603834E-2</v>
      </c>
    </row>
    <row r="112" spans="2:15" x14ac:dyDescent="0.35">
      <c r="B112" t="s">
        <v>65</v>
      </c>
      <c r="C112" s="12">
        <f t="shared" ref="C112:M113" si="120">C36</f>
        <v>0.1201643191864772</v>
      </c>
      <c r="D112" s="12">
        <f t="shared" ca="1" si="120"/>
        <v>0.15160806014685835</v>
      </c>
      <c r="E112" s="12">
        <f t="shared" ca="1" si="120"/>
        <v>0.15337347634721579</v>
      </c>
      <c r="F112" s="12">
        <f t="shared" ca="1" si="120"/>
        <v>0.15514717418822574</v>
      </c>
      <c r="G112" s="12">
        <f t="shared" ca="1" si="120"/>
        <v>0.15692859972745518</v>
      </c>
      <c r="H112" s="12">
        <f t="shared" ca="1" si="120"/>
        <v>0.15871720231738412</v>
      </c>
      <c r="I112" s="12">
        <f t="shared" ca="1" si="120"/>
        <v>0.16051243641260879</v>
      </c>
      <c r="J112" s="12">
        <f t="shared" ca="1" si="120"/>
        <v>0.1623137632883567</v>
      </c>
      <c r="K112" s="12">
        <f t="shared" ca="1" si="120"/>
        <v>0.16412065266080278</v>
      </c>
      <c r="L112" s="12">
        <f t="shared" ca="1" si="120"/>
        <v>0.16593258420108872</v>
      </c>
      <c r="M112" s="12">
        <f t="shared" ca="1" si="120"/>
        <v>0.16774904893639442</v>
      </c>
    </row>
    <row r="113" spans="1:14" x14ac:dyDescent="0.35">
      <c r="B113" t="s">
        <v>5</v>
      </c>
      <c r="C113" s="12">
        <f t="shared" si="120"/>
        <v>0</v>
      </c>
      <c r="D113" s="12">
        <f t="shared" ca="1" si="120"/>
        <v>0.22275453239418064</v>
      </c>
      <c r="E113" s="12">
        <f t="shared" ca="1" si="120"/>
        <v>7.2475090829732913E-2</v>
      </c>
      <c r="F113" s="12">
        <f t="shared" ca="1" si="120"/>
        <v>7.2916311207865903E-2</v>
      </c>
      <c r="G113" s="12">
        <f t="shared" ca="1" si="120"/>
        <v>7.3348833307151029E-2</v>
      </c>
      <c r="H113" s="12">
        <f t="shared" ca="1" si="120"/>
        <v>7.3772466882668697E-2</v>
      </c>
      <c r="I113" s="12">
        <f t="shared" ca="1" si="120"/>
        <v>7.4187046035541826E-2</v>
      </c>
      <c r="J113" s="12">
        <f t="shared" ca="1" si="120"/>
        <v>7.4592428823323731E-2</v>
      </c>
      <c r="K113" s="12">
        <f t="shared" ca="1" si="120"/>
        <v>7.4988496763772838E-2</v>
      </c>
      <c r="L113" s="12">
        <f t="shared" ca="1" si="120"/>
        <v>7.5375154241588138E-2</v>
      </c>
      <c r="M113" s="12">
        <f t="shared" ca="1" si="120"/>
        <v>7.5752327828011001E-2</v>
      </c>
    </row>
    <row r="115" spans="1:14" x14ac:dyDescent="0.35">
      <c r="B115" s="48" t="s">
        <v>59</v>
      </c>
      <c r="C115" s="70">
        <f>C44</f>
        <v>25379.616871195947</v>
      </c>
      <c r="D115" s="70">
        <f t="shared" ref="D115:M115" ca="1" si="121">D44</f>
        <v>44568.459468732057</v>
      </c>
      <c r="E115" s="70">
        <f t="shared" ca="1" si="121"/>
        <v>39745.218449753651</v>
      </c>
      <c r="F115" s="70">
        <f t="shared" ca="1" si="121"/>
        <v>43204.742141877323</v>
      </c>
      <c r="G115" s="70">
        <f t="shared" ca="1" si="121"/>
        <v>36884.623966555519</v>
      </c>
      <c r="H115" s="70">
        <f t="shared" ca="1" si="121"/>
        <v>39745.989101780287</v>
      </c>
      <c r="I115" s="70">
        <f t="shared" ca="1" si="121"/>
        <v>42843.869764035044</v>
      </c>
      <c r="J115" s="70">
        <f t="shared" ca="1" si="121"/>
        <v>46198.498837471525</v>
      </c>
      <c r="K115" s="70">
        <f t="shared" ca="1" si="121"/>
        <v>49831.865718522065</v>
      </c>
      <c r="L115" s="70">
        <f t="shared" ca="1" si="121"/>
        <v>53767.86943916545</v>
      </c>
      <c r="M115" s="70">
        <f t="shared" ca="1" si="121"/>
        <v>58032.485123559003</v>
      </c>
      <c r="N115" s="58">
        <f ca="1">_xlfn.RRI(9,D115,M115)</f>
        <v>2.9765106661670204E-2</v>
      </c>
    </row>
    <row r="116" spans="1:14" x14ac:dyDescent="0.35">
      <c r="B116" s="5" t="s">
        <v>34</v>
      </c>
      <c r="C116" s="9">
        <f ca="1">C115/$C$93</f>
        <v>6.9986183889244796E-2</v>
      </c>
      <c r="D116" s="9">
        <f t="shared" ref="D116:M116" ca="1" si="122">D115/$C$93</f>
        <v>0.12290084660730546</v>
      </c>
      <c r="E116" s="9">
        <f t="shared" ca="1" si="122"/>
        <v>0.10960040024479643</v>
      </c>
      <c r="F116" s="9">
        <f t="shared" ca="1" si="122"/>
        <v>0.1191402945038368</v>
      </c>
      <c r="G116" s="9">
        <f t="shared" ca="1" si="122"/>
        <v>0.10171209788981175</v>
      </c>
      <c r="H116" s="9">
        <f t="shared" ca="1" si="122"/>
        <v>0.10960252537516087</v>
      </c>
      <c r="I116" s="9">
        <f t="shared" ca="1" si="122"/>
        <v>0.11814516204283883</v>
      </c>
      <c r="J116" s="9">
        <f t="shared" ca="1" si="122"/>
        <v>0.12739580157791347</v>
      </c>
      <c r="K116" s="9">
        <f t="shared" ca="1" si="122"/>
        <v>0.1374150813788978</v>
      </c>
      <c r="L116" s="9">
        <f t="shared" ca="1" si="122"/>
        <v>0.14826890480656088</v>
      </c>
      <c r="M116" s="9">
        <f t="shared" ca="1" si="122"/>
        <v>0.16002890020048902</v>
      </c>
    </row>
    <row r="126" spans="1:14" ht="16" x14ac:dyDescent="0.5">
      <c r="A126" t="s">
        <v>0</v>
      </c>
      <c r="B126" s="46" t="s">
        <v>77</v>
      </c>
      <c r="C126" s="46" t="s">
        <v>67</v>
      </c>
      <c r="D126" s="46" t="s">
        <v>78</v>
      </c>
      <c r="E126" s="46" t="s">
        <v>22</v>
      </c>
      <c r="F126" s="46" t="s">
        <v>80</v>
      </c>
      <c r="G126" s="46" t="s">
        <v>79</v>
      </c>
    </row>
    <row r="127" spans="1:14" x14ac:dyDescent="0.35">
      <c r="B127" t="s">
        <v>81</v>
      </c>
      <c r="C127" s="49">
        <f>420+125</f>
        <v>545</v>
      </c>
      <c r="D127" s="49">
        <f>2545</f>
        <v>2545</v>
      </c>
      <c r="E127" s="49">
        <f>C127/G127</f>
        <v>139.74358974358975</v>
      </c>
      <c r="F127" s="51">
        <f>E127/D127</f>
        <v>5.4909072590801473E-2</v>
      </c>
      <c r="G127" s="52">
        <v>3.9</v>
      </c>
    </row>
    <row r="128" spans="1:14" x14ac:dyDescent="0.35">
      <c r="B128" t="s">
        <v>89</v>
      </c>
      <c r="C128" s="49">
        <f>533+172</f>
        <v>705</v>
      </c>
      <c r="D128" s="49">
        <f>1322</f>
        <v>1322</v>
      </c>
      <c r="E128" s="49">
        <f t="shared" ref="E128:E132" si="123">C128/G128</f>
        <v>103.67647058823529</v>
      </c>
      <c r="F128" s="51">
        <f t="shared" ref="F128:F132" si="124">E128/D128</f>
        <v>7.8423956572038794E-2</v>
      </c>
      <c r="G128" s="52">
        <v>6.8</v>
      </c>
    </row>
    <row r="129" spans="2:7" x14ac:dyDescent="0.35">
      <c r="B129" t="s">
        <v>90</v>
      </c>
      <c r="C129" s="49">
        <f>165+82</f>
        <v>247</v>
      </c>
      <c r="D129" s="49">
        <f>552</f>
        <v>552</v>
      </c>
      <c r="E129" s="49">
        <f t="shared" si="123"/>
        <v>44.909090909090907</v>
      </c>
      <c r="F129" s="51">
        <f t="shared" si="124"/>
        <v>8.1357048748353089E-2</v>
      </c>
      <c r="G129" s="52">
        <v>5.5</v>
      </c>
    </row>
    <row r="130" spans="2:7" x14ac:dyDescent="0.35">
      <c r="B130" t="s">
        <v>82</v>
      </c>
      <c r="C130" s="49">
        <f>570+196</f>
        <v>766</v>
      </c>
      <c r="D130" s="49">
        <f>1241</f>
        <v>1241</v>
      </c>
      <c r="E130" s="49">
        <f t="shared" si="123"/>
        <v>39.282051282051285</v>
      </c>
      <c r="F130" s="51">
        <f t="shared" si="124"/>
        <v>3.1653546560879361E-2</v>
      </c>
      <c r="G130" s="52">
        <v>19.5</v>
      </c>
    </row>
    <row r="131" spans="2:7" x14ac:dyDescent="0.35">
      <c r="B131" t="s">
        <v>91</v>
      </c>
      <c r="C131" s="49">
        <f>1454-97</f>
        <v>1357</v>
      </c>
      <c r="D131" s="49">
        <f>1176</f>
        <v>1176</v>
      </c>
      <c r="E131" s="49">
        <f t="shared" si="123"/>
        <v>134.35643564356437</v>
      </c>
      <c r="F131" s="51">
        <f t="shared" si="124"/>
        <v>0.11424866976493568</v>
      </c>
      <c r="G131" s="52">
        <v>10.1</v>
      </c>
    </row>
    <row r="132" spans="2:7" x14ac:dyDescent="0.35">
      <c r="B132" t="s">
        <v>83</v>
      </c>
      <c r="C132" s="49">
        <f>397+170</f>
        <v>567</v>
      </c>
      <c r="D132" s="49">
        <f>516</f>
        <v>516</v>
      </c>
      <c r="E132" s="49">
        <f t="shared" si="123"/>
        <v>94.5</v>
      </c>
      <c r="F132" s="51">
        <f t="shared" si="124"/>
        <v>0.18313953488372092</v>
      </c>
      <c r="G132" s="52">
        <v>6</v>
      </c>
    </row>
    <row r="133" spans="2:7" x14ac:dyDescent="0.35">
      <c r="B133" s="48" t="s">
        <v>84</v>
      </c>
      <c r="C133" s="50">
        <f>MEDIAN(C127:C132)</f>
        <v>636</v>
      </c>
      <c r="D133" s="50">
        <f t="shared" ref="D133:G133" si="125">MEDIAN(D127:D132)</f>
        <v>1208.5</v>
      </c>
      <c r="E133" s="50">
        <f t="shared" si="125"/>
        <v>99.088235294117652</v>
      </c>
      <c r="F133" s="53">
        <f t="shared" si="125"/>
        <v>7.9890502660195942E-2</v>
      </c>
      <c r="G133" s="54">
        <f t="shared" si="125"/>
        <v>6.4</v>
      </c>
    </row>
    <row r="135" spans="2:7" x14ac:dyDescent="0.35">
      <c r="B135" s="55" t="s">
        <v>85</v>
      </c>
      <c r="C135" s="56" t="s">
        <v>86</v>
      </c>
      <c r="D135" s="55">
        <v>431</v>
      </c>
      <c r="E135" s="55">
        <v>52</v>
      </c>
      <c r="F135" s="57">
        <f>E135/D135</f>
        <v>0.12064965197215777</v>
      </c>
      <c r="G135" s="56" t="s">
        <v>86</v>
      </c>
    </row>
  </sheetData>
  <mergeCells count="2">
    <mergeCell ref="T35:U35"/>
    <mergeCell ref="N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2024-12-29T16:39:46Z</dcterms:modified>
</cp:coreProperties>
</file>