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urface\Downloads\"/>
    </mc:Choice>
  </mc:AlternateContent>
  <xr:revisionPtr revIDLastSave="0" documentId="8_{1A862266-CD3F-46F1-8683-E67CC81D1B6A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Model" sheetId="1" r:id="rId1"/>
    <sheet name="Comps" sheetId="3" r:id="rId2"/>
    <sheet name="Adj. EBITDA" sheetId="2" r:id="rId3"/>
  </sheets>
  <definedNames>
    <definedName name="_xlchart.v1.0" hidden="1">Model!$B$99:$B$105</definedName>
    <definedName name="_xlchart.v1.1" hidden="1">Model!$C$99:$C$105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23" i="2"/>
  <c r="G65" i="1"/>
  <c r="H65" i="1" s="1"/>
  <c r="I65" i="1" s="1"/>
  <c r="J65" i="1" s="1"/>
  <c r="K65" i="1" s="1"/>
  <c r="L65" i="1" s="1"/>
  <c r="M65" i="1" s="1"/>
  <c r="N65" i="1" s="1"/>
  <c r="O65" i="1" s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Y43" i="1"/>
  <c r="U50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AL26" i="1"/>
  <c r="AK26" i="1"/>
  <c r="AJ26" i="1"/>
  <c r="AI26" i="1"/>
  <c r="AH26" i="1"/>
  <c r="AG26" i="1"/>
  <c r="AF26" i="1"/>
  <c r="AE26" i="1"/>
  <c r="AC26" i="1"/>
  <c r="AB26" i="1"/>
  <c r="AA26" i="1"/>
  <c r="Z26" i="1"/>
  <c r="Y26" i="1"/>
  <c r="AD21" i="1"/>
  <c r="AD22" i="1"/>
  <c r="AD23" i="1"/>
  <c r="AD24" i="1"/>
  <c r="AD25" i="1"/>
  <c r="AD27" i="1"/>
  <c r="AD28" i="1"/>
  <c r="AD29" i="1"/>
  <c r="AD30" i="1"/>
  <c r="AD31" i="1"/>
  <c r="AD32" i="1"/>
  <c r="AD33" i="1"/>
  <c r="AD34" i="1"/>
  <c r="AA22" i="1"/>
  <c r="AB22" i="1"/>
  <c r="AC22" i="1"/>
  <c r="AE22" i="1"/>
  <c r="AF22" i="1"/>
  <c r="AG22" i="1"/>
  <c r="AH22" i="1"/>
  <c r="AI22" i="1"/>
  <c r="AJ22" i="1"/>
  <c r="AK22" i="1"/>
  <c r="AL22" i="1"/>
  <c r="Z23" i="1"/>
  <c r="AB23" i="1"/>
  <c r="AC23" i="1"/>
  <c r="AE23" i="1"/>
  <c r="AF23" i="1"/>
  <c r="AG23" i="1"/>
  <c r="AH23" i="1"/>
  <c r="AI23" i="1"/>
  <c r="AJ23" i="1"/>
  <c r="AK23" i="1"/>
  <c r="AL23" i="1"/>
  <c r="Z24" i="1"/>
  <c r="AA24" i="1"/>
  <c r="AC24" i="1"/>
  <c r="AE24" i="1"/>
  <c r="AF24" i="1"/>
  <c r="AG24" i="1"/>
  <c r="AH24" i="1"/>
  <c r="AI24" i="1"/>
  <c r="AJ24" i="1"/>
  <c r="AK24" i="1"/>
  <c r="AL24" i="1"/>
  <c r="Z25" i="1"/>
  <c r="AA25" i="1"/>
  <c r="AB25" i="1"/>
  <c r="AE25" i="1"/>
  <c r="AF25" i="1"/>
  <c r="AG25" i="1"/>
  <c r="AH25" i="1"/>
  <c r="AI25" i="1"/>
  <c r="AJ25" i="1"/>
  <c r="AK25" i="1"/>
  <c r="AL25" i="1"/>
  <c r="Y24" i="1"/>
  <c r="X24" i="1"/>
  <c r="C104" i="1"/>
  <c r="Y23" i="1"/>
  <c r="AA21" i="1"/>
  <c r="AB21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E24" i="1"/>
  <c r="X34" i="1"/>
  <c r="X33" i="1"/>
  <c r="X32" i="1"/>
  <c r="X30" i="1"/>
  <c r="X29" i="1"/>
  <c r="X28" i="1"/>
  <c r="X27" i="1"/>
  <c r="X22" i="1"/>
  <c r="X25" i="1"/>
  <c r="X21" i="1"/>
  <c r="V35" i="1"/>
  <c r="W35" i="1"/>
  <c r="X35" i="1"/>
  <c r="V36" i="1"/>
  <c r="W36" i="1"/>
  <c r="X36" i="1"/>
  <c r="V37" i="1"/>
  <c r="W37" i="1"/>
  <c r="X37" i="1"/>
  <c r="U36" i="1"/>
  <c r="U37" i="1"/>
  <c r="U35" i="1"/>
  <c r="T47" i="1"/>
  <c r="S47" i="1"/>
  <c r="V39" i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S41" i="1"/>
  <c r="S42" i="1"/>
  <c r="S40" i="1"/>
  <c r="Z21" i="1"/>
  <c r="AC21" i="1"/>
  <c r="AE21" i="1"/>
  <c r="AF21" i="1"/>
  <c r="AG21" i="1"/>
  <c r="AH21" i="1"/>
  <c r="AI21" i="1"/>
  <c r="AJ21" i="1"/>
  <c r="AK21" i="1"/>
  <c r="AL21" i="1"/>
  <c r="Z27" i="1"/>
  <c r="AC27" i="1"/>
  <c r="AF27" i="1"/>
  <c r="AG27" i="1"/>
  <c r="AH27" i="1"/>
  <c r="AI27" i="1"/>
  <c r="AJ27" i="1"/>
  <c r="AK27" i="1"/>
  <c r="AL27" i="1"/>
  <c r="Z28" i="1"/>
  <c r="AC28" i="1"/>
  <c r="AE28" i="1"/>
  <c r="AG28" i="1"/>
  <c r="AH28" i="1"/>
  <c r="AI28" i="1"/>
  <c r="AJ28" i="1"/>
  <c r="AK28" i="1"/>
  <c r="AL28" i="1"/>
  <c r="Z29" i="1"/>
  <c r="AC29" i="1"/>
  <c r="AE29" i="1"/>
  <c r="AF29" i="1"/>
  <c r="AH29" i="1"/>
  <c r="AI29" i="1"/>
  <c r="AJ29" i="1"/>
  <c r="AK29" i="1"/>
  <c r="AL29" i="1"/>
  <c r="Z30" i="1"/>
  <c r="AC30" i="1"/>
  <c r="AE30" i="1"/>
  <c r="AF30" i="1"/>
  <c r="AG30" i="1"/>
  <c r="AI30" i="1"/>
  <c r="AJ30" i="1"/>
  <c r="AK30" i="1"/>
  <c r="AL30" i="1"/>
  <c r="Z31" i="1"/>
  <c r="AC31" i="1"/>
  <c r="AE31" i="1"/>
  <c r="AF31" i="1"/>
  <c r="AG31" i="1"/>
  <c r="AH31" i="1"/>
  <c r="AJ31" i="1"/>
  <c r="AK31" i="1"/>
  <c r="AL31" i="1"/>
  <c r="Z32" i="1"/>
  <c r="AC32" i="1"/>
  <c r="AE32" i="1"/>
  <c r="AF32" i="1"/>
  <c r="AG32" i="1"/>
  <c r="AH32" i="1"/>
  <c r="AI32" i="1"/>
  <c r="AK32" i="1"/>
  <c r="AL32" i="1"/>
  <c r="Z33" i="1"/>
  <c r="AC33" i="1"/>
  <c r="AE33" i="1"/>
  <c r="AF33" i="1"/>
  <c r="AG33" i="1"/>
  <c r="AH33" i="1"/>
  <c r="AI33" i="1"/>
  <c r="AJ33" i="1"/>
  <c r="AL33" i="1"/>
  <c r="Z34" i="1"/>
  <c r="AC34" i="1"/>
  <c r="AE34" i="1"/>
  <c r="AF34" i="1"/>
  <c r="AG34" i="1"/>
  <c r="AH34" i="1"/>
  <c r="AI34" i="1"/>
  <c r="AJ34" i="1"/>
  <c r="AK34" i="1"/>
  <c r="Y22" i="1"/>
  <c r="Y25" i="1"/>
  <c r="Y27" i="1"/>
  <c r="Y28" i="1"/>
  <c r="Y29" i="1"/>
  <c r="Y30" i="1"/>
  <c r="Y31" i="1"/>
  <c r="Y32" i="1"/>
  <c r="Y33" i="1"/>
  <c r="Y34" i="1"/>
  <c r="F86" i="1"/>
  <c r="F77" i="1"/>
  <c r="G77" i="1" s="1"/>
  <c r="H77" i="1" s="1"/>
  <c r="I77" i="1" s="1"/>
  <c r="J77" i="1" s="1"/>
  <c r="K77" i="1" s="1"/>
  <c r="L77" i="1" s="1"/>
  <c r="M77" i="1" s="1"/>
  <c r="N77" i="1" s="1"/>
  <c r="O77" i="1" s="1"/>
  <c r="F51" i="1"/>
  <c r="G51" i="1" s="1"/>
  <c r="H51" i="1" s="1"/>
  <c r="I51" i="1" s="1"/>
  <c r="J51" i="1" s="1"/>
  <c r="K51" i="1" s="1"/>
  <c r="L51" i="1" s="1"/>
  <c r="M51" i="1" s="1"/>
  <c r="N51" i="1" s="1"/>
  <c r="O51" i="1" s="1"/>
  <c r="F10" i="3"/>
  <c r="D8" i="3"/>
  <c r="E8" i="3"/>
  <c r="F8" i="3"/>
  <c r="G8" i="3"/>
  <c r="H8" i="3"/>
  <c r="I8" i="3"/>
  <c r="J8" i="3"/>
  <c r="C8" i="3"/>
  <c r="J7" i="3"/>
  <c r="J6" i="3"/>
  <c r="J4" i="3"/>
  <c r="I6" i="3"/>
  <c r="I7" i="3"/>
  <c r="I4" i="3"/>
  <c r="F5" i="3"/>
  <c r="F6" i="3"/>
  <c r="F7" i="3"/>
  <c r="F4" i="3"/>
  <c r="F19" i="1"/>
  <c r="G19" i="1" s="1"/>
  <c r="H19" i="1" s="1"/>
  <c r="I19" i="1" s="1"/>
  <c r="J19" i="1" s="1"/>
  <c r="K19" i="1" s="1"/>
  <c r="L19" i="1" s="1"/>
  <c r="M19" i="1" s="1"/>
  <c r="N19" i="1" s="1"/>
  <c r="O19" i="1" s="1"/>
  <c r="C21" i="2"/>
  <c r="C20" i="2"/>
  <c r="C7" i="2"/>
  <c r="C17" i="2" s="1"/>
  <c r="C22" i="2" l="1"/>
  <c r="E4" i="1"/>
  <c r="E32" i="1" s="1"/>
  <c r="E37" i="1" s="1"/>
  <c r="H10" i="3"/>
  <c r="E26" i="1"/>
  <c r="E28" i="1"/>
  <c r="G86" i="1"/>
  <c r="E33" i="1" l="1"/>
  <c r="I10" i="3"/>
  <c r="J10" i="3"/>
  <c r="E30" i="1"/>
  <c r="H86" i="1"/>
  <c r="I86" i="1" l="1"/>
  <c r="J86" i="1" l="1"/>
  <c r="K86" i="1" l="1"/>
  <c r="L86" i="1" l="1"/>
  <c r="M86" i="1" l="1"/>
  <c r="N86" i="1" l="1"/>
  <c r="O86" i="1" l="1"/>
  <c r="B87" i="1" s="1" a="1"/>
  <c r="N88" i="1" s="1"/>
  <c r="N92" i="1" l="1"/>
  <c r="N91" i="1"/>
  <c r="N90" i="1"/>
  <c r="B87" i="1"/>
  <c r="O87" i="1" s="1"/>
  <c r="F91" i="1"/>
  <c r="F92" i="1"/>
  <c r="F93" i="1"/>
  <c r="F94" i="1"/>
  <c r="F95" i="1"/>
  <c r="F90" i="1"/>
  <c r="F89" i="1"/>
  <c r="F96" i="1"/>
  <c r="F88" i="1"/>
  <c r="G95" i="1"/>
  <c r="G96" i="1"/>
  <c r="G89" i="1"/>
  <c r="G90" i="1"/>
  <c r="G91" i="1"/>
  <c r="G92" i="1"/>
  <c r="G93" i="1"/>
  <c r="G94" i="1"/>
  <c r="H95" i="1"/>
  <c r="H96" i="1"/>
  <c r="H88" i="1"/>
  <c r="H90" i="1"/>
  <c r="H91" i="1"/>
  <c r="H92" i="1"/>
  <c r="H93" i="1"/>
  <c r="H94" i="1"/>
  <c r="I95" i="1"/>
  <c r="I96" i="1"/>
  <c r="I88" i="1"/>
  <c r="I89" i="1"/>
  <c r="I91" i="1"/>
  <c r="I92" i="1"/>
  <c r="I93" i="1"/>
  <c r="I94" i="1"/>
  <c r="J95" i="1"/>
  <c r="J96" i="1"/>
  <c r="J88" i="1"/>
  <c r="J89" i="1"/>
  <c r="J90" i="1"/>
  <c r="J92" i="1"/>
  <c r="J93" i="1"/>
  <c r="J94" i="1"/>
  <c r="K94" i="1"/>
  <c r="K95" i="1"/>
  <c r="K96" i="1"/>
  <c r="K88" i="1"/>
  <c r="K89" i="1"/>
  <c r="K90" i="1"/>
  <c r="K91" i="1"/>
  <c r="K93" i="1"/>
  <c r="L94" i="1"/>
  <c r="L95" i="1"/>
  <c r="L96" i="1"/>
  <c r="L88" i="1"/>
  <c r="L89" i="1"/>
  <c r="L90" i="1"/>
  <c r="L91" i="1"/>
  <c r="L92" i="1"/>
  <c r="M93" i="1"/>
  <c r="M95" i="1"/>
  <c r="M96" i="1"/>
  <c r="M88" i="1"/>
  <c r="M89" i="1"/>
  <c r="M90" i="1"/>
  <c r="M91" i="1"/>
  <c r="M92" i="1"/>
  <c r="N89" i="1"/>
  <c r="N96" i="1"/>
  <c r="N94" i="1"/>
  <c r="O88" i="1"/>
  <c r="O89" i="1"/>
  <c r="O90" i="1"/>
  <c r="O91" i="1"/>
  <c r="O92" i="1"/>
  <c r="O93" i="1"/>
  <c r="O94" i="1"/>
  <c r="O95" i="1"/>
  <c r="N93" i="1"/>
  <c r="G87" i="1" l="1"/>
  <c r="H87" i="1"/>
  <c r="I87" i="1"/>
  <c r="J87" i="1"/>
  <c r="K87" i="1"/>
  <c r="L87" i="1"/>
  <c r="M87" i="1"/>
  <c r="N87" i="1"/>
  <c r="T20" i="1" l="1"/>
  <c r="T21" i="1"/>
  <c r="T22" i="1"/>
  <c r="T23" i="1"/>
  <c r="F29" i="1" s="1"/>
  <c r="T24" i="1"/>
  <c r="T25" i="1"/>
  <c r="F33" i="1" s="1"/>
  <c r="T26" i="1"/>
  <c r="T27" i="1"/>
  <c r="T28" i="1"/>
  <c r="T29" i="1"/>
  <c r="T30" i="1"/>
  <c r="T31" i="1"/>
  <c r="J5" i="1" s="1"/>
  <c r="H5" i="1" s="1"/>
  <c r="T32" i="1"/>
  <c r="J61" i="1" s="1"/>
  <c r="T33" i="1"/>
  <c r="T34" i="1"/>
  <c r="E5" i="1" l="1"/>
  <c r="E6" i="1" s="1"/>
  <c r="F28" i="1"/>
  <c r="G29" i="1"/>
  <c r="H29" i="1" s="1"/>
  <c r="I29" i="1" s="1"/>
  <c r="J29" i="1" s="1"/>
  <c r="K29" i="1" s="1"/>
  <c r="L29" i="1" s="1"/>
  <c r="M29" i="1" s="1"/>
  <c r="N29" i="1" s="1"/>
  <c r="O29" i="1" s="1"/>
  <c r="F25" i="1"/>
  <c r="H61" i="1"/>
  <c r="G33" i="1"/>
  <c r="G61" i="1"/>
  <c r="F61" i="1"/>
  <c r="K61" i="1"/>
  <c r="O61" i="1"/>
  <c r="N61" i="1"/>
  <c r="M61" i="1"/>
  <c r="I61" i="1"/>
  <c r="F54" i="1"/>
  <c r="J80" i="1"/>
  <c r="L61" i="1"/>
  <c r="I80" i="1" l="1"/>
  <c r="H80" i="1" s="1"/>
  <c r="G80" i="1" s="1"/>
  <c r="F80" i="1" s="1"/>
  <c r="K80" i="1"/>
  <c r="L80" i="1" s="1"/>
  <c r="M80" i="1" s="1"/>
  <c r="N80" i="1" s="1"/>
  <c r="O80" i="1" s="1"/>
  <c r="E8" i="1"/>
  <c r="E9" i="1" s="1"/>
  <c r="H9" i="1"/>
  <c r="H11" i="1" s="1"/>
  <c r="I9" i="1" s="1"/>
  <c r="G28" i="1"/>
  <c r="H28" i="1" s="1"/>
  <c r="I28" i="1" s="1"/>
  <c r="J28" i="1" s="1"/>
  <c r="G25" i="1"/>
  <c r="H25" i="1" s="1"/>
  <c r="I25" i="1" s="1"/>
  <c r="J25" i="1" s="1"/>
  <c r="K25" i="1" s="1"/>
  <c r="L25" i="1" s="1"/>
  <c r="M25" i="1" s="1"/>
  <c r="N25" i="1" s="1"/>
  <c r="O25" i="1" s="1"/>
  <c r="F24" i="1"/>
  <c r="H33" i="1"/>
  <c r="F55" i="1"/>
  <c r="F43" i="1" s="1"/>
  <c r="K28" i="1" l="1"/>
  <c r="L28" i="1" s="1"/>
  <c r="M28" i="1" s="1"/>
  <c r="N28" i="1" s="1"/>
  <c r="O28" i="1" s="1"/>
  <c r="Q28" i="1" s="1"/>
  <c r="P28" i="1"/>
  <c r="G24" i="1"/>
  <c r="F21" i="1"/>
  <c r="F22" i="1" s="1"/>
  <c r="I33" i="1"/>
  <c r="I10" i="1"/>
  <c r="I11" i="1"/>
  <c r="H7" i="1"/>
  <c r="F26" i="1" l="1"/>
  <c r="F30" i="1"/>
  <c r="F41" i="1"/>
  <c r="F32" i="1"/>
  <c r="F40" i="1"/>
  <c r="H24" i="1"/>
  <c r="G21" i="1"/>
  <c r="G22" i="1" s="1"/>
  <c r="I5" i="1"/>
  <c r="I7" i="1"/>
  <c r="H6" i="1"/>
  <c r="J33" i="1"/>
  <c r="I24" i="1" l="1"/>
  <c r="H21" i="1"/>
  <c r="H22" i="1" s="1"/>
  <c r="G26" i="1"/>
  <c r="G30" i="1"/>
  <c r="G41" i="1"/>
  <c r="G40" i="1"/>
  <c r="G32" i="1"/>
  <c r="F37" i="1"/>
  <c r="F79" i="1" s="1"/>
  <c r="F34" i="1"/>
  <c r="K33" i="1"/>
  <c r="E89" i="1"/>
  <c r="E88" i="1"/>
  <c r="E94" i="1"/>
  <c r="I6" i="1"/>
  <c r="E87" i="1"/>
  <c r="C99" i="1" s="1"/>
  <c r="E91" i="1"/>
  <c r="E90" i="1"/>
  <c r="E93" i="1"/>
  <c r="E95" i="1"/>
  <c r="E92" i="1"/>
  <c r="E96" i="1"/>
  <c r="F66" i="1" l="1"/>
  <c r="F81" i="1"/>
  <c r="G37" i="1"/>
  <c r="G79" i="1" s="1"/>
  <c r="G34" i="1"/>
  <c r="H26" i="1"/>
  <c r="H30" i="1"/>
  <c r="H41" i="1"/>
  <c r="H40" i="1"/>
  <c r="H32" i="1"/>
  <c r="J24" i="1"/>
  <c r="P24" i="1" s="1"/>
  <c r="I21" i="1"/>
  <c r="I22" i="1" s="1"/>
  <c r="L33" i="1"/>
  <c r="K24" i="1" l="1"/>
  <c r="J21" i="1"/>
  <c r="I26" i="1"/>
  <c r="I30" i="1"/>
  <c r="I40" i="1"/>
  <c r="I41" i="1"/>
  <c r="I32" i="1"/>
  <c r="G81" i="1"/>
  <c r="G66" i="1"/>
  <c r="H34" i="1"/>
  <c r="H37" i="1"/>
  <c r="H79" i="1" s="1"/>
  <c r="M33" i="1"/>
  <c r="J22" i="1" l="1"/>
  <c r="P21" i="1"/>
  <c r="I34" i="1"/>
  <c r="I37" i="1"/>
  <c r="I79" i="1" s="1"/>
  <c r="J26" i="1"/>
  <c r="J30" i="1"/>
  <c r="J40" i="1"/>
  <c r="J41" i="1"/>
  <c r="C100" i="1"/>
  <c r="J32" i="1"/>
  <c r="P32" i="1" s="1"/>
  <c r="C101" i="1"/>
  <c r="H66" i="1"/>
  <c r="H81" i="1"/>
  <c r="L24" i="1"/>
  <c r="K21" i="1"/>
  <c r="K22" i="1" s="1"/>
  <c r="N33" i="1"/>
  <c r="M24" i="1" l="1"/>
  <c r="L21" i="1"/>
  <c r="L22" i="1" s="1"/>
  <c r="I66" i="1"/>
  <c r="I81" i="1"/>
  <c r="J34" i="1"/>
  <c r="J37" i="1"/>
  <c r="K26" i="1"/>
  <c r="K30" i="1"/>
  <c r="K40" i="1"/>
  <c r="K41" i="1"/>
  <c r="K32" i="1"/>
  <c r="O33" i="1"/>
  <c r="J79" i="1" l="1"/>
  <c r="J81" i="1" s="1"/>
  <c r="P37" i="1"/>
  <c r="K34" i="1"/>
  <c r="K37" i="1"/>
  <c r="K79" i="1" s="1"/>
  <c r="L26" i="1"/>
  <c r="L30" i="1"/>
  <c r="L41" i="1"/>
  <c r="L40" i="1"/>
  <c r="L32" i="1"/>
  <c r="N24" i="1"/>
  <c r="M21" i="1"/>
  <c r="M22" i="1" s="1"/>
  <c r="J66" i="1" l="1"/>
  <c r="C102" i="1"/>
  <c r="K66" i="1"/>
  <c r="K81" i="1"/>
  <c r="L37" i="1"/>
  <c r="L79" i="1" s="1"/>
  <c r="L34" i="1"/>
  <c r="M26" i="1"/>
  <c r="M30" i="1"/>
  <c r="M40" i="1"/>
  <c r="M41" i="1"/>
  <c r="M32" i="1"/>
  <c r="O24" i="1"/>
  <c r="N21" i="1"/>
  <c r="N22" i="1" s="1"/>
  <c r="O21" i="1" l="1"/>
  <c r="Q21" i="1" s="1"/>
  <c r="Q24" i="1"/>
  <c r="L66" i="1"/>
  <c r="L81" i="1"/>
  <c r="N26" i="1"/>
  <c r="N30" i="1"/>
  <c r="N41" i="1"/>
  <c r="N40" i="1"/>
  <c r="N32" i="1"/>
  <c r="M34" i="1"/>
  <c r="M37" i="1"/>
  <c r="O41" i="1" l="1"/>
  <c r="O26" i="1"/>
  <c r="O40" i="1"/>
  <c r="O30" i="1"/>
  <c r="O22" i="1"/>
  <c r="O32" i="1"/>
  <c r="N37" i="1"/>
  <c r="N34" i="1"/>
  <c r="M79" i="1"/>
  <c r="O37" i="1" l="1"/>
  <c r="Q37" i="1" s="1"/>
  <c r="Q32" i="1"/>
  <c r="O34" i="1"/>
  <c r="M81" i="1"/>
  <c r="M66" i="1"/>
  <c r="N79" i="1"/>
  <c r="O79" i="1" l="1"/>
  <c r="N81" i="1"/>
  <c r="N66" i="1"/>
  <c r="O66" i="1" l="1"/>
  <c r="O81" i="1"/>
  <c r="V47" i="1" a="1"/>
  <c r="W49" i="1" s="1"/>
  <c r="W58" i="1" l="1"/>
  <c r="V47" i="1"/>
  <c r="W47" i="1" s="1"/>
  <c r="W57" i="1"/>
  <c r="W53" i="1"/>
  <c r="W54" i="1"/>
  <c r="W50" i="1"/>
  <c r="W51" i="1"/>
  <c r="W59" i="1"/>
  <c r="W52" i="1"/>
  <c r="W56" i="1"/>
  <c r="W60" i="1"/>
  <c r="W55" i="1"/>
  <c r="W48" i="1"/>
  <c r="T35" i="1"/>
  <c r="T36" i="1"/>
  <c r="T37" i="1"/>
  <c r="F38" i="1"/>
  <c r="G38" i="1"/>
  <c r="H38" i="1"/>
  <c r="I38" i="1"/>
  <c r="J38" i="1"/>
  <c r="K38" i="1"/>
  <c r="L38" i="1"/>
  <c r="M38" i="1"/>
  <c r="N38" i="1"/>
  <c r="O38" i="1"/>
  <c r="F39" i="1"/>
  <c r="G39" i="1"/>
  <c r="H39" i="1"/>
  <c r="I39" i="1"/>
  <c r="J39" i="1"/>
  <c r="K39" i="1"/>
  <c r="L39" i="1"/>
  <c r="M39" i="1"/>
  <c r="N39" i="1"/>
  <c r="O39" i="1"/>
  <c r="T40" i="1"/>
  <c r="T41" i="1"/>
  <c r="F42" i="1"/>
  <c r="G42" i="1"/>
  <c r="H42" i="1"/>
  <c r="I42" i="1"/>
  <c r="J42" i="1"/>
  <c r="K42" i="1"/>
  <c r="L42" i="1"/>
  <c r="M42" i="1"/>
  <c r="N42" i="1"/>
  <c r="O42" i="1"/>
  <c r="T42" i="1"/>
  <c r="G43" i="1"/>
  <c r="H43" i="1"/>
  <c r="I43" i="1"/>
  <c r="J43" i="1"/>
  <c r="K43" i="1"/>
  <c r="L43" i="1"/>
  <c r="M43" i="1"/>
  <c r="N43" i="1"/>
  <c r="O43" i="1"/>
  <c r="F44" i="1"/>
  <c r="G44" i="1"/>
  <c r="H44" i="1"/>
  <c r="I44" i="1"/>
  <c r="J44" i="1"/>
  <c r="K44" i="1"/>
  <c r="L44" i="1"/>
  <c r="M44" i="1"/>
  <c r="N44" i="1"/>
  <c r="O44" i="1"/>
  <c r="F45" i="1"/>
  <c r="G45" i="1"/>
  <c r="H45" i="1"/>
  <c r="I45" i="1"/>
  <c r="J45" i="1"/>
  <c r="K45" i="1"/>
  <c r="L45" i="1"/>
  <c r="M45" i="1"/>
  <c r="N45" i="1"/>
  <c r="O45" i="1"/>
  <c r="F47" i="1"/>
  <c r="G47" i="1"/>
  <c r="H47" i="1"/>
  <c r="I47" i="1"/>
  <c r="J47" i="1"/>
  <c r="K47" i="1"/>
  <c r="L47" i="1"/>
  <c r="M47" i="1"/>
  <c r="N47" i="1"/>
  <c r="O47" i="1"/>
  <c r="G54" i="1"/>
  <c r="H54" i="1"/>
  <c r="I54" i="1"/>
  <c r="J54" i="1"/>
  <c r="K54" i="1"/>
  <c r="L54" i="1"/>
  <c r="M54" i="1"/>
  <c r="N54" i="1"/>
  <c r="O54" i="1"/>
  <c r="G55" i="1"/>
  <c r="H55" i="1"/>
  <c r="I55" i="1"/>
  <c r="J55" i="1"/>
  <c r="K55" i="1"/>
  <c r="L55" i="1"/>
  <c r="M55" i="1"/>
  <c r="N55" i="1"/>
  <c r="O55" i="1"/>
  <c r="F56" i="1"/>
  <c r="G56" i="1"/>
  <c r="H56" i="1"/>
  <c r="I56" i="1"/>
  <c r="J56" i="1"/>
  <c r="K56" i="1"/>
  <c r="L56" i="1"/>
  <c r="M56" i="1"/>
  <c r="N56" i="1"/>
  <c r="O56" i="1"/>
  <c r="F57" i="1"/>
  <c r="G57" i="1"/>
  <c r="H57" i="1"/>
  <c r="I57" i="1"/>
  <c r="J57" i="1"/>
  <c r="K57" i="1"/>
  <c r="L57" i="1"/>
  <c r="M57" i="1"/>
  <c r="N57" i="1"/>
  <c r="O57" i="1"/>
  <c r="F59" i="1"/>
  <c r="G59" i="1"/>
  <c r="H59" i="1"/>
  <c r="I59" i="1"/>
  <c r="J59" i="1"/>
  <c r="K59" i="1"/>
  <c r="L59" i="1"/>
  <c r="M59" i="1"/>
  <c r="N59" i="1"/>
  <c r="O59" i="1"/>
  <c r="F62" i="1"/>
  <c r="G62" i="1"/>
  <c r="H62" i="1"/>
  <c r="I62" i="1"/>
  <c r="J62" i="1"/>
  <c r="K62" i="1"/>
  <c r="L62" i="1"/>
  <c r="M62" i="1"/>
  <c r="N62" i="1"/>
  <c r="O62" i="1"/>
  <c r="F67" i="1"/>
  <c r="G67" i="1"/>
  <c r="H67" i="1"/>
  <c r="I67" i="1"/>
  <c r="J67" i="1"/>
  <c r="K67" i="1"/>
  <c r="L67" i="1"/>
  <c r="M67" i="1"/>
  <c r="N67" i="1"/>
  <c r="O67" i="1"/>
  <c r="F68" i="1"/>
  <c r="G68" i="1"/>
  <c r="H68" i="1"/>
  <c r="I68" i="1"/>
  <c r="J68" i="1"/>
  <c r="K68" i="1"/>
  <c r="L68" i="1"/>
  <c r="M68" i="1"/>
  <c r="N68" i="1"/>
  <c r="O68" i="1"/>
  <c r="F70" i="1"/>
  <c r="G70" i="1"/>
  <c r="H70" i="1"/>
  <c r="I70" i="1"/>
  <c r="J70" i="1"/>
  <c r="K70" i="1"/>
  <c r="L70" i="1"/>
  <c r="M70" i="1"/>
  <c r="N70" i="1"/>
  <c r="O70" i="1"/>
  <c r="F71" i="1"/>
  <c r="G71" i="1"/>
  <c r="H71" i="1"/>
  <c r="I71" i="1"/>
  <c r="J71" i="1"/>
  <c r="K71" i="1"/>
  <c r="L71" i="1"/>
  <c r="M71" i="1"/>
  <c r="N71" i="1"/>
  <c r="O71" i="1"/>
  <c r="F72" i="1"/>
  <c r="G72" i="1"/>
  <c r="H72" i="1"/>
  <c r="I72" i="1"/>
  <c r="J72" i="1"/>
  <c r="K72" i="1"/>
  <c r="L72" i="1"/>
  <c r="M72" i="1"/>
  <c r="N72" i="1"/>
  <c r="O72" i="1"/>
  <c r="F82" i="1"/>
  <c r="G82" i="1"/>
  <c r="H82" i="1"/>
  <c r="I82" i="1"/>
  <c r="J82" i="1"/>
  <c r="K82" i="1"/>
  <c r="L82" i="1"/>
  <c r="M82" i="1"/>
  <c r="N82" i="1"/>
  <c r="O82" i="1"/>
  <c r="F83" i="1"/>
  <c r="G83" i="1"/>
  <c r="H83" i="1"/>
  <c r="I83" i="1"/>
  <c r="J83" i="1"/>
  <c r="K83" i="1"/>
  <c r="L83" i="1"/>
  <c r="M83" i="1"/>
  <c r="N83" i="1"/>
  <c r="O83" i="1"/>
  <c r="C87" i="1"/>
  <c r="D87" i="1"/>
  <c r="F87" i="1"/>
  <c r="C88" i="1"/>
  <c r="D88" i="1"/>
  <c r="G88" i="1"/>
  <c r="C89" i="1"/>
  <c r="D89" i="1"/>
  <c r="H89" i="1"/>
  <c r="C90" i="1"/>
  <c r="D90" i="1"/>
  <c r="I90" i="1"/>
  <c r="C91" i="1"/>
  <c r="D91" i="1"/>
  <c r="J91" i="1"/>
  <c r="C92" i="1"/>
  <c r="D92" i="1"/>
  <c r="K92" i="1"/>
  <c r="C93" i="1"/>
  <c r="D93" i="1"/>
  <c r="L93" i="1"/>
  <c r="C94" i="1"/>
  <c r="D94" i="1"/>
  <c r="M94" i="1"/>
  <c r="C95" i="1"/>
  <c r="D95" i="1"/>
  <c r="N95" i="1"/>
  <c r="C96" i="1"/>
  <c r="D96" i="1"/>
  <c r="O96" i="1"/>
  <c r="C103" i="1"/>
  <c r="C10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<sst xmlns="http://schemas.openxmlformats.org/spreadsheetml/2006/main" count="149" uniqueCount="117">
  <si>
    <t>x</t>
  </si>
  <si>
    <t>Purchase Price</t>
  </si>
  <si>
    <t>(Loss) income before income taxes</t>
  </si>
  <si>
    <t>Interest Expense</t>
  </si>
  <si>
    <t>Depreciation and Amortization</t>
  </si>
  <si>
    <t>Signing Bonus Amortization</t>
  </si>
  <si>
    <t>EBITDA</t>
  </si>
  <si>
    <t>Legal and contigent matters</t>
  </si>
  <si>
    <t>Equity Based Comp</t>
  </si>
  <si>
    <t>Resturating</t>
  </si>
  <si>
    <t>Compliance</t>
  </si>
  <si>
    <t>Loss of early debt extinguishment</t>
  </si>
  <si>
    <t>Severance</t>
  </si>
  <si>
    <t>Director Monitor Cost</t>
  </si>
  <si>
    <t>Mgmt. Adjusted EBITDA</t>
  </si>
  <si>
    <t>Direct Monitor Costs</t>
  </si>
  <si>
    <t>Our. Adjusted EBITDA</t>
  </si>
  <si>
    <t>Adjusted EBITDA</t>
  </si>
  <si>
    <t>Entry Multiple</t>
  </si>
  <si>
    <t>Financials</t>
  </si>
  <si>
    <t>Year</t>
  </si>
  <si>
    <t>Revenue</t>
  </si>
  <si>
    <t>Growth %</t>
  </si>
  <si>
    <t>Margin %</t>
  </si>
  <si>
    <t>Cash Flow</t>
  </si>
  <si>
    <t>Interest</t>
  </si>
  <si>
    <t>Taxes</t>
  </si>
  <si>
    <t>Capex</t>
  </si>
  <si>
    <t>NWC</t>
  </si>
  <si>
    <t>FCF Before Debt &amp; M&amp;A</t>
  </si>
  <si>
    <t>(-) Mandatory Debt Repayments</t>
  </si>
  <si>
    <t>(-) Optional Debt Repayments</t>
  </si>
  <si>
    <t>Ending</t>
  </si>
  <si>
    <t>Debt Schedule</t>
  </si>
  <si>
    <t>Assumptions</t>
  </si>
  <si>
    <t>Case</t>
  </si>
  <si>
    <t>Item</t>
  </si>
  <si>
    <t>Revenue Growth</t>
  </si>
  <si>
    <t>Step</t>
  </si>
  <si>
    <t>EBITDA Margin Step</t>
  </si>
  <si>
    <t>Base</t>
  </si>
  <si>
    <t>WYNTB</t>
  </si>
  <si>
    <t>Upside</t>
  </si>
  <si>
    <t>Downside</t>
  </si>
  <si>
    <t>Stress</t>
  </si>
  <si>
    <t>Company Name</t>
  </si>
  <si>
    <t>Market Cap</t>
  </si>
  <si>
    <t>Debt</t>
  </si>
  <si>
    <t>Cash</t>
  </si>
  <si>
    <t>EBITDA Margin</t>
  </si>
  <si>
    <t>EV/EBITDA</t>
  </si>
  <si>
    <t>Western Union</t>
  </si>
  <si>
    <t>Remitly Global</t>
  </si>
  <si>
    <t>Wise</t>
  </si>
  <si>
    <t>International Money Express</t>
  </si>
  <si>
    <t>MoneyGram International</t>
  </si>
  <si>
    <t>Median</t>
  </si>
  <si>
    <t>N/A</t>
  </si>
  <si>
    <t>EV</t>
  </si>
  <si>
    <t>Debt/EBITDA</t>
  </si>
  <si>
    <t>SOFR +</t>
  </si>
  <si>
    <t>Mandatory Debt Repayments</t>
  </si>
  <si>
    <t>Term Loan</t>
  </si>
  <si>
    <t>Beginning</t>
  </si>
  <si>
    <t>Sources &amp; Uses</t>
  </si>
  <si>
    <t>Equity</t>
  </si>
  <si>
    <t>Total Sources</t>
  </si>
  <si>
    <t>Total Uses</t>
  </si>
  <si>
    <t>Implied Share Price Premium</t>
  </si>
  <si>
    <t>Deal Fees</t>
  </si>
  <si>
    <t>$</t>
  </si>
  <si>
    <t>%</t>
  </si>
  <si>
    <t>x / EBITDA</t>
  </si>
  <si>
    <t>Average Balance</t>
  </si>
  <si>
    <t>SOFR Forward Curve</t>
  </si>
  <si>
    <t>Interest Rate</t>
  </si>
  <si>
    <t>Ending Cash</t>
  </si>
  <si>
    <t>Ending Year Cash</t>
  </si>
  <si>
    <t>Returns Analysis</t>
  </si>
  <si>
    <t>LTM EBITDA</t>
  </si>
  <si>
    <t>Exit Multiple</t>
  </si>
  <si>
    <t>Enterprise Value</t>
  </si>
  <si>
    <t>(-) Net Debt</t>
  </si>
  <si>
    <t>Equity Value</t>
  </si>
  <si>
    <t>Exit Year</t>
  </si>
  <si>
    <t>MOIC</t>
  </si>
  <si>
    <t>IRR</t>
  </si>
  <si>
    <t>Net Debt</t>
  </si>
  <si>
    <t>Net Debt / EBITDA</t>
  </si>
  <si>
    <t>Interest Coverage Ratio</t>
  </si>
  <si>
    <t>Fixed Charge Coverage Ratio</t>
  </si>
  <si>
    <t>Debt to Service Coverage Ratio</t>
  </si>
  <si>
    <t>Min Fixed Charge Ratio</t>
  </si>
  <si>
    <t>Variable</t>
  </si>
  <si>
    <t>Impact</t>
  </si>
  <si>
    <t>Stress Test</t>
  </si>
  <si>
    <t>Current Share Price</t>
  </si>
  <si>
    <t>Take Private Share Price</t>
  </si>
  <si>
    <t>Traditional</t>
  </si>
  <si>
    <t>% of Total</t>
  </si>
  <si>
    <t>Digital</t>
  </si>
  <si>
    <t>Traditional Growth</t>
  </si>
  <si>
    <t>Digital Growth</t>
  </si>
  <si>
    <t>Ending Equity</t>
  </si>
  <si>
    <t>Starting Equity</t>
  </si>
  <si>
    <t>CAGR ('21-26)</t>
  </si>
  <si>
    <t>CAGR ('21-31)</t>
  </si>
  <si>
    <t>MoneyGram</t>
  </si>
  <si>
    <t>Significant Items Affecting EBITDA</t>
  </si>
  <si>
    <t>Adjusted EBITDA Margin %</t>
  </si>
  <si>
    <t>Traditional Business (80%)</t>
  </si>
  <si>
    <t>Digital Business (20%)</t>
  </si>
  <si>
    <t>Implied Entry</t>
  </si>
  <si>
    <t>LFCF / Debt Paydown</t>
  </si>
  <si>
    <t>Trx Fees</t>
  </si>
  <si>
    <t>Margins Expansion</t>
  </si>
  <si>
    <t>Multiple 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</si>
</sst>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yyyy"/>
    <numFmt numFmtId="165" formatCode="0.0%"/>
    <numFmt numFmtId="166" formatCode="_(* #,##0_);_(* \(#,##0\);_(* &quot;-&quot;??_);_(@_)"/>
    <numFmt numFmtId="167" formatCode="0.0\x"/>
    <numFmt numFmtId="168" formatCode="_(&quot;$&quot;* #,##0.0_);_(&quot;$&quot;* \(#,##0.0\);_(&quot;$&quot;* &quot;-&quot;??_);_(@_)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 val="singleAccounting"/>
      <sz val="11"/>
      <color theme="0"/>
      <name val="Calibri"/>
      <family val="2"/>
      <scheme val="minor"/>
    </font>
    <font>
      <sz val="11"/>
      <color theme="1"/>
      <name val="Playbill"/>
      <family val="5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1C9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left" indent="1"/>
    </xf>
    <xf numFmtId="0" fontId="3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 indent="1"/>
    </xf>
    <xf numFmtId="165" fontId="0" fillId="0" borderId="0" xfId="2" applyNumberFormat="1" applyFont="1"/>
    <xf numFmtId="0" fontId="3" fillId="0" borderId="2" xfId="0" applyFont="1" applyBorder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4" xfId="0" applyBorder="1"/>
    <xf numFmtId="9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6" fillId="0" borderId="0" xfId="0" applyFont="1"/>
    <xf numFmtId="166" fontId="0" fillId="0" borderId="0" xfId="1" applyNumberFormat="1" applyFont="1"/>
    <xf numFmtId="0" fontId="3" fillId="0" borderId="0" xfId="0" applyFont="1"/>
    <xf numFmtId="0" fontId="3" fillId="0" borderId="4" xfId="0" applyFont="1" applyBorder="1"/>
    <xf numFmtId="166" fontId="3" fillId="0" borderId="4" xfId="1" applyNumberFormat="1" applyFont="1" applyBorder="1"/>
    <xf numFmtId="0" fontId="3" fillId="3" borderId="1" xfId="0" applyFont="1" applyFill="1" applyBorder="1"/>
    <xf numFmtId="165" fontId="0" fillId="0" borderId="0" xfId="2" applyNumberFormat="1" applyFont="1" applyAlignment="1">
      <alignment horizontal="right"/>
    </xf>
    <xf numFmtId="167" fontId="0" fillId="0" borderId="0" xfId="0" applyNumberFormat="1"/>
    <xf numFmtId="0" fontId="0" fillId="0" borderId="0" xfId="0" applyAlignment="1">
      <alignment horizontal="right"/>
    </xf>
    <xf numFmtId="165" fontId="3" fillId="3" borderId="1" xfId="2" applyNumberFormat="1" applyFont="1" applyFill="1" applyBorder="1"/>
    <xf numFmtId="167" fontId="3" fillId="3" borderId="1" xfId="2" applyNumberFormat="1" applyFont="1" applyFill="1" applyBorder="1"/>
    <xf numFmtId="166" fontId="3" fillId="3" borderId="1" xfId="1" applyNumberFormat="1" applyFont="1" applyFill="1" applyBorder="1"/>
    <xf numFmtId="166" fontId="0" fillId="0" borderId="0" xfId="0" applyNumberFormat="1"/>
    <xf numFmtId="166" fontId="3" fillId="0" borderId="1" xfId="1" applyNumberFormat="1" applyFont="1" applyBorder="1"/>
    <xf numFmtId="0" fontId="3" fillId="4" borderId="1" xfId="0" applyFont="1" applyFill="1" applyBorder="1"/>
    <xf numFmtId="166" fontId="3" fillId="4" borderId="1" xfId="1" applyNumberFormat="1" applyFont="1" applyFill="1" applyBorder="1"/>
    <xf numFmtId="165" fontId="3" fillId="4" borderId="1" xfId="2" applyNumberFormat="1" applyFont="1" applyFill="1" applyBorder="1"/>
    <xf numFmtId="167" fontId="3" fillId="4" borderId="1" xfId="0" applyNumberFormat="1" applyFont="1" applyFill="1" applyBorder="1"/>
    <xf numFmtId="0" fontId="3" fillId="3" borderId="1" xfId="0" applyFont="1" applyFill="1" applyBorder="1" applyAlignment="1">
      <alignment horizontal="left"/>
    </xf>
    <xf numFmtId="0" fontId="3" fillId="0" borderId="5" xfId="0" applyFont="1" applyBorder="1"/>
    <xf numFmtId="9" fontId="0" fillId="0" borderId="0" xfId="2" applyFont="1"/>
    <xf numFmtId="9" fontId="3" fillId="0" borderId="5" xfId="2" applyFont="1" applyBorder="1"/>
    <xf numFmtId="166" fontId="3" fillId="0" borderId="5" xfId="1" applyNumberFormat="1" applyFont="1" applyBorder="1"/>
    <xf numFmtId="165" fontId="6" fillId="0" borderId="0" xfId="0" applyNumberFormat="1" applyFont="1"/>
    <xf numFmtId="166" fontId="3" fillId="0" borderId="2" xfId="0" applyNumberFormat="1" applyFont="1" applyBorder="1"/>
    <xf numFmtId="166" fontId="3" fillId="0" borderId="5" xfId="0" applyNumberFormat="1" applyFont="1" applyBorder="1"/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3" fillId="3" borderId="2" xfId="0" applyFont="1" applyFill="1" applyBorder="1"/>
    <xf numFmtId="166" fontId="3" fillId="3" borderId="2" xfId="1" applyNumberFormat="1" applyFont="1" applyFill="1" applyBorder="1"/>
    <xf numFmtId="9" fontId="6" fillId="0" borderId="0" xfId="0" applyNumberFormat="1" applyFont="1"/>
    <xf numFmtId="10" fontId="6" fillId="0" borderId="0" xfId="0" applyNumberFormat="1" applyFont="1"/>
    <xf numFmtId="167" fontId="6" fillId="0" borderId="0" xfId="0" applyNumberFormat="1" applyFont="1"/>
    <xf numFmtId="166" fontId="6" fillId="0" borderId="0" xfId="1" applyNumberFormat="1" applyFont="1"/>
    <xf numFmtId="167" fontId="0" fillId="0" borderId="4" xfId="0" applyNumberFormat="1" applyBorder="1"/>
    <xf numFmtId="167" fontId="6" fillId="0" borderId="4" xfId="0" applyNumberFormat="1" applyFont="1" applyBorder="1"/>
    <xf numFmtId="0" fontId="7" fillId="2" borderId="0" xfId="0" applyFont="1" applyFill="1" applyAlignment="1">
      <alignment horizontal="center"/>
    </xf>
    <xf numFmtId="0" fontId="8" fillId="0" borderId="0" xfId="0" applyFont="1"/>
    <xf numFmtId="0" fontId="0" fillId="3" borderId="5" xfId="0" applyFill="1" applyBorder="1"/>
    <xf numFmtId="0" fontId="0" fillId="3" borderId="0" xfId="0" applyFill="1"/>
    <xf numFmtId="0" fontId="0" fillId="3" borderId="4" xfId="0" applyFill="1" applyBorder="1"/>
    <xf numFmtId="0" fontId="0" fillId="3" borderId="6" xfId="0" applyFill="1" applyBorder="1"/>
    <xf numFmtId="165" fontId="1" fillId="3" borderId="7" xfId="2" applyNumberFormat="1" applyFont="1" applyFill="1" applyBorder="1"/>
    <xf numFmtId="0" fontId="0" fillId="3" borderId="8" xfId="0" applyFill="1" applyBorder="1"/>
    <xf numFmtId="168" fontId="0" fillId="3" borderId="9" xfId="1" applyNumberFormat="1" applyFont="1" applyFill="1" applyBorder="1"/>
    <xf numFmtId="0" fontId="0" fillId="3" borderId="10" xfId="0" applyFill="1" applyBorder="1"/>
    <xf numFmtId="168" fontId="0" fillId="3" borderId="11" xfId="1" applyNumberFormat="1" applyFont="1" applyFill="1" applyBorder="1"/>
    <xf numFmtId="1" fontId="0" fillId="0" borderId="0" xfId="0" applyNumberFormat="1"/>
    <xf numFmtId="0" fontId="4" fillId="0" borderId="0" xfId="0" applyFont="1"/>
    <xf numFmtId="9" fontId="4" fillId="0" borderId="0" xfId="0" applyNumberFormat="1" applyFont="1"/>
    <xf numFmtId="9" fontId="4" fillId="0" borderId="0" xfId="2" applyFont="1"/>
    <xf numFmtId="1" fontId="0" fillId="0" borderId="0" xfId="1" applyNumberFormat="1" applyFont="1"/>
    <xf numFmtId="9" fontId="0" fillId="3" borderId="0" xfId="0" applyNumberFormat="1" applyFill="1"/>
    <xf numFmtId="10" fontId="0" fillId="3" borderId="0" xfId="0" applyNumberFormat="1" applyFill="1"/>
    <xf numFmtId="167" fontId="0" fillId="3" borderId="0" xfId="0" applyNumberFormat="1" applyFill="1"/>
    <xf numFmtId="166" fontId="0" fillId="3" borderId="0" xfId="1" applyNumberFormat="1" applyFont="1" applyFill="1"/>
    <xf numFmtId="167" fontId="0" fillId="3" borderId="4" xfId="0" applyNumberFormat="1" applyFill="1" applyBorder="1"/>
    <xf numFmtId="10" fontId="9" fillId="0" borderId="0" xfId="0" applyNumberFormat="1" applyFont="1"/>
    <xf numFmtId="166" fontId="3" fillId="0" borderId="0" xfId="1" applyNumberFormat="1" applyFont="1" applyBorder="1"/>
    <xf numFmtId="166" fontId="3" fillId="0" borderId="0" xfId="0" applyNumberFormat="1" applyFont="1"/>
    <xf numFmtId="166" fontId="9" fillId="0" borderId="0" xfId="1" applyNumberFormat="1" applyFont="1"/>
    <xf numFmtId="0" fontId="0" fillId="0" borderId="4" xfId="0" applyBorder="1" applyAlignment="1">
      <alignment horizontal="right"/>
    </xf>
    <xf numFmtId="166" fontId="0" fillId="2" borderId="0" xfId="1" applyNumberFormat="1" applyFont="1" applyFill="1"/>
    <xf numFmtId="165" fontId="4" fillId="0" borderId="0" xfId="2" applyNumberFormat="1" applyFont="1"/>
    <xf numFmtId="9" fontId="3" fillId="0" borderId="0" xfId="2" applyFont="1" applyBorder="1"/>
    <xf numFmtId="9" fontId="3" fillId="0" borderId="0" xfId="2" applyFont="1" applyFill="1" applyBorder="1"/>
    <xf numFmtId="169" fontId="3" fillId="0" borderId="5" xfId="0" applyNumberFormat="1" applyFont="1" applyBorder="1"/>
    <xf numFmtId="0" fontId="0" fillId="5" borderId="3" xfId="0" applyFill="1" applyBorder="1"/>
    <xf numFmtId="166" fontId="3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166" fontId="0" fillId="3" borderId="1" xfId="1" applyNumberFormat="1" applyFont="1" applyFill="1" applyBorder="1"/>
    <xf numFmtId="0" fontId="7" fillId="2" borderId="0" xfId="0" applyFont="1" applyFill="1" applyAlignment="1">
      <alignment horizontal="center"/>
    </xf>
    <xf numFmtId="0" fontId="0" fillId="0" borderId="0" xfId="0" applyBorder="1"/>
    <xf numFmtId="0" fontId="3" fillId="0" borderId="0" xfId="0" applyFont="1" applyBorder="1"/>
    <xf numFmtId="169" fontId="3" fillId="0" borderId="0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F1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Model!$B$68</c:f>
              <c:strCache>
                <c:ptCount val="1"/>
                <c:pt idx="0">
                  <c:v>Net Debt / EBITDA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Model!$F$65:$J$65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Model!$F$68:$J$68</c:f>
              <c:numCache>
                <c:formatCode>0.0\x</c:formatCode>
                <c:ptCount val="5"/>
                <c:pt idx="0">
                  <c:v>2.8816893368177605</c:v>
                </c:pt>
                <c:pt idx="1">
                  <c:v>2.2537872997340118</c:v>
                </c:pt>
                <c:pt idx="2">
                  <c:v>1.6289774543910061</c:v>
                </c:pt>
                <c:pt idx="3">
                  <c:v>1.0074587968559929</c:v>
                </c:pt>
                <c:pt idx="4">
                  <c:v>0.38956755629903633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F-4368-8DDC-B4B1CD8499BE}"/>
            </c:ext>
          </c:extLst>
        </c:ser>
        <c:ser>
          <c:idx val="4"/>
          <c:order val="2"/>
          <c:tx>
            <c:strRef>
              <c:f>Model!$B$71</c:f>
              <c:strCache>
                <c:ptCount val="1"/>
                <c:pt idx="0">
                  <c:v>Fixed Charge Coverage Ratio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Model!$F$65:$J$65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Model!$F$71:$J$71</c:f>
              <c:numCache>
                <c:formatCode>0.0\x</c:formatCode>
                <c:ptCount val="5"/>
                <c:pt idx="0">
                  <c:v>1.9260375007529029</c:v>
                </c:pt>
                <c:pt idx="1">
                  <c:v>2.4492160126164313</c:v>
                </c:pt>
                <c:pt idx="2">
                  <c:v>3.1743174946572053</c:v>
                </c:pt>
                <c:pt idx="3">
                  <c:v>4.556106068844934</c:v>
                </c:pt>
                <c:pt idx="4">
                  <c:v>8.2214566592826941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6F-4368-8DDC-B4B1CD849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3884223"/>
        <c:axId val="1173879423"/>
        <c:extLst>
          <c:ext xmlns:c15="http://schemas.microsoft.com/office/drawing/2012/chart" uri="{02D57815-91ED-43cb-92C2-25804820EDAC}">
            <c15:filteredBa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Model!$B$69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Model!$F$65:$J$65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Model!$F$69:$J$69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66F-4368-8DDC-B4B1CD8499BE}"/>
                  </c:ext>
                </c:extLst>
              </c15:ser>
            </c15:filteredBarSeries>
          </c:ext>
        </c:extLst>
      </c:barChart>
      <c:catAx>
        <c:axId val="1173884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879423"/>
        <c:crosses val="autoZero"/>
        <c:auto val="1"/>
        <c:lblAlgn val="ctr"/>
        <c:lblOffset val="100"/>
        <c:noMultiLvlLbl val="0"/>
      </c:catAx>
      <c:valAx>
        <c:axId val="1173879423"/>
        <c:scaling>
          <c:orientation val="minMax"/>
        </c:scaling>
        <c:delete val="0"/>
        <c:axPos val="l"/>
        <c:numFmt formatCode="0.0\x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884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8971395A-9D61-47EE-A067-29F7B9EDF9ED}">
          <cx:dataLabels pos="outEnd">
            <cx:visibility seriesName="0" categoryName="0" value="1"/>
          </cx:dataLabels>
          <cx:dataId val="0"/>
          <cx:layoutPr>
            <cx:subtotals>
              <cx:idx val="6"/>
            </cx:subtotals>
          </cx:layoutPr>
        </cx:series>
      </cx:plotAreaRegion>
      <cx:axis id="0">
        <cx:catScaling gapWidth="0.5"/>
        <cx:tickLabels/>
      </cx:axis>
      <cx:axis id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1417603</xdr:colOff>
      <xdr:row>98</xdr:row>
      <xdr:rowOff>161387</xdr:rowOff>
    </xdr:from>
    <xdr:to>
      <xdr:col>15</xdr:col>
      <xdr:colOff>100263</xdr:colOff>
      <xdr:row>116</xdr:row>
      <xdr:rowOff>44561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3B04FE6-D053-E66B-5D60-4F0CE4B27A9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08503" y="18316037"/>
              <a:ext cx="7864760" cy="31978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15</xdr:col>
      <xdr:colOff>744681</xdr:colOff>
      <xdr:row>67</xdr:row>
      <xdr:rowOff>67457</xdr:rowOff>
    </xdr:from>
    <xdr:to>
      <xdr:col>22</xdr:col>
      <xdr:colOff>569026</xdr:colOff>
      <xdr:row>83</xdr:row>
      <xdr:rowOff>49480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AB1483-98DD-3590-BFC1-FC53C1478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N105"/>
  <sheetViews>
    <sheetView showGridLines="0" tabSelected="1" zoomScale="59" workbookViewId="0">
      <selection activeCell="Q44" sqref="Q44"/>
    </sheetView>
  </sheetViews>
  <sheetFormatPr defaultRowHeight="14.5" x14ac:dyDescent="0.35"/>
  <cols>
    <col min="1" max="1" width="1.6328125" customWidth="1"/>
    <col min="2" max="2" width="25.6328125" customWidth="1"/>
    <col min="3" max="15" width="10.6328125" customWidth="1"/>
    <col min="16" max="17" width="12.7265625" bestFit="1" customWidth="1"/>
    <col min="19" max="19" width="25.6328125" customWidth="1"/>
  </cols>
  <sheetData>
    <row r="3" spans="1:10" x14ac:dyDescent="0.35">
      <c r="A3" t="s">
        <v>0</v>
      </c>
      <c r="B3" s="2" t="s">
        <v>1</v>
      </c>
      <c r="C3" s="2"/>
      <c r="D3" s="2"/>
      <c r="E3" s="2"/>
      <c r="G3" s="2" t="s">
        <v>64</v>
      </c>
      <c r="H3" s="2"/>
      <c r="I3" s="2"/>
      <c r="J3" s="2"/>
    </row>
    <row r="4" spans="1:10" x14ac:dyDescent="0.35">
      <c r="B4" t="s">
        <v>17</v>
      </c>
      <c r="E4">
        <f>'Adj. EBITDA'!$C$22</f>
        <v>210.00000000000003</v>
      </c>
      <c r="H4" s="23" t="s">
        <v>70</v>
      </c>
      <c r="I4" s="23" t="s">
        <v>71</v>
      </c>
      <c r="J4" s="23" t="s">
        <v>72</v>
      </c>
    </row>
    <row r="5" spans="1:10" x14ac:dyDescent="0.35">
      <c r="B5" t="s">
        <v>18</v>
      </c>
      <c r="E5" s="22">
        <f ca="1">T30</f>
        <v>8</v>
      </c>
      <c r="G5" t="s">
        <v>62</v>
      </c>
      <c r="H5">
        <f ca="1">J5*E4</f>
        <v>735.00000000000011</v>
      </c>
      <c r="I5" s="35">
        <f ca="1">H5/$H$7</f>
        <v>0.42436489607390299</v>
      </c>
      <c r="J5" s="22">
        <f ca="1">$T$31</f>
        <v>3.5</v>
      </c>
    </row>
    <row r="6" spans="1:10" x14ac:dyDescent="0.35">
      <c r="B6" s="34" t="s">
        <v>1</v>
      </c>
      <c r="C6" s="34"/>
      <c r="D6" s="34"/>
      <c r="E6" s="34">
        <f ca="1">E4*E5</f>
        <v>1680.0000000000002</v>
      </c>
      <c r="G6" t="s">
        <v>65</v>
      </c>
      <c r="H6">
        <f ca="1">H7-H5</f>
        <v>997.00000000000011</v>
      </c>
      <c r="I6" s="35">
        <f t="shared" ref="I6:I7" ca="1" si="0">H6/$H$7</f>
        <v>0.57563510392609696</v>
      </c>
    </row>
    <row r="7" spans="1:10" x14ac:dyDescent="0.35">
      <c r="G7" s="34" t="s">
        <v>66</v>
      </c>
      <c r="H7" s="34">
        <f ca="1">H11</f>
        <v>1732.0000000000002</v>
      </c>
      <c r="I7" s="36">
        <f t="shared" ca="1" si="0"/>
        <v>1</v>
      </c>
      <c r="J7" s="34"/>
    </row>
    <row r="8" spans="1:10" x14ac:dyDescent="0.35">
      <c r="B8" s="56" t="s">
        <v>68</v>
      </c>
      <c r="C8" s="53"/>
      <c r="D8" s="53"/>
      <c r="E8" s="57">
        <f ca="1">(E6-Comps!D10+Comps!E10)/Comps!C10-1</f>
        <v>0.37206085753803619</v>
      </c>
    </row>
    <row r="9" spans="1:10" x14ac:dyDescent="0.35">
      <c r="B9" s="58" t="s">
        <v>97</v>
      </c>
      <c r="C9" s="54"/>
      <c r="D9" s="54"/>
      <c r="E9" s="59">
        <f ca="1">E10*(1+E8)</f>
        <v>10.97648686030429</v>
      </c>
      <c r="G9" t="s">
        <v>1</v>
      </c>
      <c r="H9">
        <f ca="1">E6</f>
        <v>1680.0000000000002</v>
      </c>
      <c r="I9" s="35">
        <f ca="1">H9/$H$11</f>
        <v>0.96997690531177827</v>
      </c>
    </row>
    <row r="10" spans="1:10" x14ac:dyDescent="0.35">
      <c r="B10" s="60" t="s">
        <v>96</v>
      </c>
      <c r="C10" s="55"/>
      <c r="D10" s="55"/>
      <c r="E10" s="61">
        <v>8</v>
      </c>
      <c r="G10" t="s">
        <v>69</v>
      </c>
      <c r="H10">
        <v>52</v>
      </c>
      <c r="I10" s="35">
        <f t="shared" ref="I10:I11" ca="1" si="1">H10/$H$11</f>
        <v>3.0023094688221705E-2</v>
      </c>
    </row>
    <row r="11" spans="1:10" x14ac:dyDescent="0.35">
      <c r="G11" s="34" t="s">
        <v>67</v>
      </c>
      <c r="H11" s="34">
        <f ca="1">SUM(H9:H10)</f>
        <v>1732.0000000000002</v>
      </c>
      <c r="I11" s="36">
        <f t="shared" ca="1" si="1"/>
        <v>1</v>
      </c>
    </row>
    <row r="12" spans="1:10" x14ac:dyDescent="0.35">
      <c r="G12" s="17"/>
      <c r="H12" s="17"/>
      <c r="I12" s="79"/>
    </row>
    <row r="13" spans="1:10" x14ac:dyDescent="0.35">
      <c r="B13" t="s">
        <v>110</v>
      </c>
      <c r="C13">
        <v>7</v>
      </c>
      <c r="E13" s="89"/>
      <c r="F13" s="89"/>
      <c r="G13" s="90"/>
      <c r="H13" s="17"/>
      <c r="I13" s="80"/>
    </row>
    <row r="14" spans="1:10" x14ac:dyDescent="0.35">
      <c r="B14" t="s">
        <v>111</v>
      </c>
      <c r="C14">
        <v>12</v>
      </c>
      <c r="E14" s="89"/>
      <c r="F14" s="89"/>
      <c r="G14" s="90"/>
      <c r="H14" s="17"/>
      <c r="I14" s="80"/>
    </row>
    <row r="15" spans="1:10" x14ac:dyDescent="0.35">
      <c r="B15" s="34" t="s">
        <v>112</v>
      </c>
      <c r="C15" s="81">
        <f>C13*0.8+C14*0.2</f>
        <v>8</v>
      </c>
      <c r="E15" s="90"/>
      <c r="F15" s="91"/>
      <c r="G15" s="89"/>
    </row>
    <row r="17" spans="1:40" x14ac:dyDescent="0.35">
      <c r="A17" t="s">
        <v>0</v>
      </c>
      <c r="B17" s="2" t="s">
        <v>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S17" s="2" t="s">
        <v>34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40" x14ac:dyDescent="0.35">
      <c r="T18" t="s">
        <v>35</v>
      </c>
    </row>
    <row r="19" spans="1:40" ht="16" x14ac:dyDescent="0.5">
      <c r="B19" s="9" t="s">
        <v>20</v>
      </c>
      <c r="C19" s="9"/>
      <c r="D19" s="9"/>
      <c r="E19" s="10">
        <v>44561</v>
      </c>
      <c r="F19" s="10">
        <f>E19+365</f>
        <v>44926</v>
      </c>
      <c r="G19" s="10">
        <f t="shared" ref="G19:O19" si="2">F19+365</f>
        <v>45291</v>
      </c>
      <c r="H19" s="10">
        <f t="shared" si="2"/>
        <v>45656</v>
      </c>
      <c r="I19" s="10">
        <f t="shared" si="2"/>
        <v>46021</v>
      </c>
      <c r="J19" s="10">
        <f t="shared" si="2"/>
        <v>46386</v>
      </c>
      <c r="K19" s="10">
        <f t="shared" si="2"/>
        <v>46751</v>
      </c>
      <c r="L19" s="10">
        <f t="shared" si="2"/>
        <v>47116</v>
      </c>
      <c r="M19" s="10">
        <f t="shared" si="2"/>
        <v>47481</v>
      </c>
      <c r="N19" s="10">
        <f t="shared" si="2"/>
        <v>47846</v>
      </c>
      <c r="O19" s="10">
        <f t="shared" si="2"/>
        <v>48211</v>
      </c>
      <c r="P19" s="10" t="s">
        <v>105</v>
      </c>
      <c r="Q19" s="10" t="s">
        <v>106</v>
      </c>
      <c r="T19" s="82">
        <v>1</v>
      </c>
    </row>
    <row r="20" spans="1:40" x14ac:dyDescent="0.35">
      <c r="S20" s="11" t="s">
        <v>36</v>
      </c>
      <c r="T20" s="76" t="str">
        <f ca="1">OFFSET(T20,,$T$19)</f>
        <v>WYNTB</v>
      </c>
      <c r="U20" s="76" t="s">
        <v>41</v>
      </c>
      <c r="V20" s="76" t="s">
        <v>42</v>
      </c>
      <c r="W20" s="76" t="s">
        <v>43</v>
      </c>
      <c r="X20" s="76" t="s">
        <v>44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x14ac:dyDescent="0.35">
      <c r="B21" t="s">
        <v>21</v>
      </c>
      <c r="E21" s="15">
        <v>1284</v>
      </c>
      <c r="F21" s="16">
        <f ca="1">F24+F28</f>
        <v>1373.88</v>
      </c>
      <c r="G21" s="16">
        <f t="shared" ref="G21:O21" ca="1" si="3">G24+G28</f>
        <v>1470.3886500000001</v>
      </c>
      <c r="H21" s="16">
        <f t="shared" ca="1" si="3"/>
        <v>1574.1569958750001</v>
      </c>
      <c r="I21" s="16">
        <f t="shared" ca="1" si="3"/>
        <v>1685.8905624717188</v>
      </c>
      <c r="J21" s="16">
        <f t="shared" ca="1" si="3"/>
        <v>1806.3777811303055</v>
      </c>
      <c r="K21" s="16">
        <f t="shared" ca="1" si="3"/>
        <v>1936.4991631874827</v>
      </c>
      <c r="L21" s="16">
        <f t="shared" ca="1" si="3"/>
        <v>2077.2372576622565</v>
      </c>
      <c r="M21" s="16">
        <f t="shared" ca="1" si="3"/>
        <v>2229.6874299857313</v>
      </c>
      <c r="N21" s="16">
        <f t="shared" ca="1" si="3"/>
        <v>2395.069496761661</v>
      </c>
      <c r="O21" s="16">
        <f t="shared" ca="1" si="3"/>
        <v>2574.7402490783852</v>
      </c>
      <c r="P21" s="7">
        <f ca="1">_xlfn.RRI(5,E21,J21)</f>
        <v>7.0652934791972877E-2</v>
      </c>
      <c r="Q21" s="7">
        <f ca="1">_xlfn.RRI(10,E21,O21)</f>
        <v>7.2054440021752209E-2</v>
      </c>
      <c r="S21" t="s">
        <v>101</v>
      </c>
      <c r="T21" s="67">
        <f t="shared" ref="T21" ca="1" si="4">OFFSET(T21,,$T$19)</f>
        <v>0.05</v>
      </c>
      <c r="U21" s="12">
        <v>0.05</v>
      </c>
      <c r="V21" s="12">
        <v>0.06</v>
      </c>
      <c r="W21" s="12">
        <v>0.04</v>
      </c>
      <c r="X21" s="12">
        <f>W21</f>
        <v>0.04</v>
      </c>
      <c r="Y21" s="45">
        <v>0.06</v>
      </c>
      <c r="Z21" s="12">
        <f t="shared" ref="Z21:AL21" si="5">$U21</f>
        <v>0.05</v>
      </c>
      <c r="AA21" s="12">
        <f t="shared" si="5"/>
        <v>0.05</v>
      </c>
      <c r="AB21" s="12">
        <f t="shared" si="5"/>
        <v>0.05</v>
      </c>
      <c r="AC21" s="12">
        <f t="shared" si="5"/>
        <v>0.05</v>
      </c>
      <c r="AD21" s="12">
        <f t="shared" si="5"/>
        <v>0.05</v>
      </c>
      <c r="AE21" s="12">
        <f t="shared" si="5"/>
        <v>0.05</v>
      </c>
      <c r="AF21" s="12">
        <f t="shared" si="5"/>
        <v>0.05</v>
      </c>
      <c r="AG21" s="12">
        <f t="shared" si="5"/>
        <v>0.05</v>
      </c>
      <c r="AH21" s="12">
        <f t="shared" si="5"/>
        <v>0.05</v>
      </c>
      <c r="AI21" s="12">
        <f t="shared" si="5"/>
        <v>0.05</v>
      </c>
      <c r="AJ21" s="12">
        <f t="shared" si="5"/>
        <v>0.05</v>
      </c>
      <c r="AK21" s="12">
        <f t="shared" si="5"/>
        <v>0.05</v>
      </c>
      <c r="AL21" s="12">
        <f t="shared" si="5"/>
        <v>0.05</v>
      </c>
      <c r="AM21" s="12"/>
      <c r="AN21" s="12"/>
    </row>
    <row r="22" spans="1:40" x14ac:dyDescent="0.35">
      <c r="B22" s="6" t="s">
        <v>22</v>
      </c>
      <c r="C22" s="6"/>
      <c r="D22" s="6"/>
      <c r="F22" s="7">
        <f ca="1">F21/E21-1</f>
        <v>7.0000000000000062E-2</v>
      </c>
      <c r="G22" s="7">
        <f t="shared" ref="G22:O22" ca="1" si="6">G21/F21-1</f>
        <v>7.0245327102803623E-2</v>
      </c>
      <c r="H22" s="7">
        <f t="shared" ca="1" si="6"/>
        <v>7.057205309290171E-2</v>
      </c>
      <c r="I22" s="7">
        <f t="shared" ca="1" si="6"/>
        <v>7.0979938398463949E-2</v>
      </c>
      <c r="J22" s="7">
        <f t="shared" ca="1" si="6"/>
        <v>7.1467995219059777E-2</v>
      </c>
      <c r="K22" s="7">
        <f t="shared" ca="1" si="6"/>
        <v>7.203442348352862E-2</v>
      </c>
      <c r="L22" s="7">
        <f t="shared" ca="1" si="6"/>
        <v>7.2676558374091149E-2</v>
      </c>
      <c r="M22" s="7">
        <f t="shared" ca="1" si="6"/>
        <v>7.3390832829102859E-2</v>
      </c>
      <c r="N22" s="7">
        <f t="shared" ca="1" si="6"/>
        <v>7.4172758276252138E-2</v>
      </c>
      <c r="O22" s="7">
        <f t="shared" ca="1" si="6"/>
        <v>7.5016926464828826E-2</v>
      </c>
      <c r="P22" s="7"/>
      <c r="S22" t="s">
        <v>38</v>
      </c>
      <c r="T22" s="68">
        <f t="shared" ref="T22:T34" ca="1" si="7">OFFSET(T22,,$T$19)</f>
        <v>-1.25E-3</v>
      </c>
      <c r="U22" s="13">
        <v>-1.25E-3</v>
      </c>
      <c r="V22" s="13">
        <v>-1.25E-3</v>
      </c>
      <c r="W22" s="13">
        <v>-1.25E-3</v>
      </c>
      <c r="X22" s="12">
        <f>W22</f>
        <v>-1.25E-3</v>
      </c>
      <c r="Y22" s="13">
        <f t="shared" ref="Y22:Y34" si="8">$U22</f>
        <v>-1.25E-3</v>
      </c>
      <c r="Z22" s="46">
        <v>-2.5000000000000001E-3</v>
      </c>
      <c r="AA22" s="13">
        <f t="shared" ref="AA22:AL22" si="9">$U22</f>
        <v>-1.25E-3</v>
      </c>
      <c r="AB22" s="13">
        <f t="shared" si="9"/>
        <v>-1.25E-3</v>
      </c>
      <c r="AC22" s="13">
        <f t="shared" si="9"/>
        <v>-1.25E-3</v>
      </c>
      <c r="AD22" s="13">
        <f t="shared" si="9"/>
        <v>-1.25E-3</v>
      </c>
      <c r="AE22" s="13">
        <f t="shared" si="9"/>
        <v>-1.25E-3</v>
      </c>
      <c r="AF22" s="13">
        <f t="shared" si="9"/>
        <v>-1.25E-3</v>
      </c>
      <c r="AG22" s="13">
        <f t="shared" si="9"/>
        <v>-1.25E-3</v>
      </c>
      <c r="AH22" s="13">
        <f t="shared" si="9"/>
        <v>-1.25E-3</v>
      </c>
      <c r="AI22" s="13">
        <f t="shared" si="9"/>
        <v>-1.25E-3</v>
      </c>
      <c r="AJ22" s="13">
        <f t="shared" si="9"/>
        <v>-1.25E-3</v>
      </c>
      <c r="AK22" s="13">
        <f t="shared" si="9"/>
        <v>-1.25E-3</v>
      </c>
      <c r="AL22" s="13">
        <f t="shared" si="9"/>
        <v>-1.25E-3</v>
      </c>
      <c r="AM22" s="13"/>
      <c r="AN22" s="13"/>
    </row>
    <row r="23" spans="1:40" x14ac:dyDescent="0.35">
      <c r="S23" t="s">
        <v>102</v>
      </c>
      <c r="T23" s="67">
        <f t="shared" ca="1" si="7"/>
        <v>0.15</v>
      </c>
      <c r="U23" s="12">
        <v>0.15</v>
      </c>
      <c r="V23" s="12">
        <v>0.2</v>
      </c>
      <c r="W23" s="12">
        <v>0.1</v>
      </c>
      <c r="X23" s="12">
        <v>0.1</v>
      </c>
      <c r="Y23" s="13">
        <f t="shared" si="8"/>
        <v>0.15</v>
      </c>
      <c r="Z23" s="13">
        <f t="shared" ref="Z23:Z34" si="10">$U23</f>
        <v>0.15</v>
      </c>
      <c r="AA23" s="45">
        <v>0.2</v>
      </c>
      <c r="AB23" s="13">
        <f t="shared" ref="AB23:AL23" si="11">$U23</f>
        <v>0.15</v>
      </c>
      <c r="AC23" s="13">
        <f t="shared" si="11"/>
        <v>0.15</v>
      </c>
      <c r="AD23" s="13">
        <f t="shared" si="11"/>
        <v>0.15</v>
      </c>
      <c r="AE23" s="13">
        <f t="shared" si="11"/>
        <v>0.15</v>
      </c>
      <c r="AF23" s="13">
        <f t="shared" si="11"/>
        <v>0.15</v>
      </c>
      <c r="AG23" s="13">
        <f t="shared" si="11"/>
        <v>0.15</v>
      </c>
      <c r="AH23" s="13">
        <f t="shared" si="11"/>
        <v>0.15</v>
      </c>
      <c r="AI23" s="13">
        <f t="shared" si="11"/>
        <v>0.15</v>
      </c>
      <c r="AJ23" s="13">
        <f t="shared" si="11"/>
        <v>0.15</v>
      </c>
      <c r="AK23" s="13">
        <f t="shared" si="11"/>
        <v>0.15</v>
      </c>
      <c r="AL23" s="13">
        <f t="shared" si="11"/>
        <v>0.15</v>
      </c>
      <c r="AM23" s="13"/>
      <c r="AN23" s="13"/>
    </row>
    <row r="24" spans="1:40" x14ac:dyDescent="0.35">
      <c r="B24" t="s">
        <v>98</v>
      </c>
      <c r="E24" s="62">
        <f>80%*E21</f>
        <v>1027.2</v>
      </c>
      <c r="F24" s="66">
        <f ca="1">E24*(1+F25)</f>
        <v>1078.5600000000002</v>
      </c>
      <c r="G24" s="66">
        <f t="shared" ref="G24" ca="1" si="12">F24*(1+G25)</f>
        <v>1131.1398000000002</v>
      </c>
      <c r="H24" s="66">
        <f t="shared" ref="H24" ca="1" si="13">G24*(1+H25)</f>
        <v>1184.8689405000002</v>
      </c>
      <c r="I24" s="66">
        <f t="shared" ref="I24" ca="1" si="14">H24*(1+I25)</f>
        <v>1239.6691289981252</v>
      </c>
      <c r="J24" s="66">
        <f t="shared" ref="J24" ca="1" si="15">I24*(1+J25)</f>
        <v>1295.4542398030408</v>
      </c>
      <c r="K24" s="66">
        <f t="shared" ref="K24" ca="1" si="16">J24*(1+K25)</f>
        <v>1352.1303627944237</v>
      </c>
      <c r="L24" s="66">
        <f t="shared" ref="L24" ca="1" si="17">K24*(1+L25)</f>
        <v>1409.5959032131866</v>
      </c>
      <c r="M24" s="66">
        <f t="shared" ref="M24" ca="1" si="18">L24*(1+M25)</f>
        <v>1467.7417342207305</v>
      </c>
      <c r="N24" s="66">
        <f t="shared" ref="N24" ca="1" si="19">M24*(1+N25)</f>
        <v>1526.4514035895597</v>
      </c>
      <c r="O24" s="66">
        <f t="shared" ref="O24" ca="1" si="20">N24*(1+O25)</f>
        <v>1585.6013954786554</v>
      </c>
      <c r="P24" s="7">
        <f ca="1">_xlfn.RRI(5,E24,J24)</f>
        <v>4.749850835067293E-2</v>
      </c>
      <c r="Q24" s="7">
        <f ca="1">_xlfn.RRI(10,E24,O24)</f>
        <v>4.4368828499255164E-2</v>
      </c>
      <c r="S24" t="s">
        <v>38</v>
      </c>
      <c r="T24" s="68">
        <f t="shared" ca="1" si="7"/>
        <v>-1.25E-3</v>
      </c>
      <c r="U24" s="13">
        <v>-1.25E-3</v>
      </c>
      <c r="V24" s="13">
        <v>-1.25E-3</v>
      </c>
      <c r="W24" s="13">
        <v>-2.5000000000000001E-3</v>
      </c>
      <c r="X24" s="12">
        <f>W24</f>
        <v>-2.5000000000000001E-3</v>
      </c>
      <c r="Y24" s="13">
        <f t="shared" si="8"/>
        <v>-1.25E-3</v>
      </c>
      <c r="Z24" s="13">
        <f t="shared" si="10"/>
        <v>-1.25E-3</v>
      </c>
      <c r="AA24" s="13">
        <f>$U24</f>
        <v>-1.25E-3</v>
      </c>
      <c r="AB24" s="46">
        <v>-2.5000000000000001E-3</v>
      </c>
      <c r="AC24" s="13">
        <f t="shared" ref="AC24:AL24" si="21">$U24</f>
        <v>-1.25E-3</v>
      </c>
      <c r="AD24" s="13">
        <f t="shared" si="21"/>
        <v>-1.25E-3</v>
      </c>
      <c r="AE24" s="13">
        <f t="shared" si="21"/>
        <v>-1.25E-3</v>
      </c>
      <c r="AF24" s="13">
        <f t="shared" si="21"/>
        <v>-1.25E-3</v>
      </c>
      <c r="AG24" s="13">
        <f t="shared" si="21"/>
        <v>-1.25E-3</v>
      </c>
      <c r="AH24" s="13">
        <f t="shared" si="21"/>
        <v>-1.25E-3</v>
      </c>
      <c r="AI24" s="13">
        <f t="shared" si="21"/>
        <v>-1.25E-3</v>
      </c>
      <c r="AJ24" s="13">
        <f t="shared" si="21"/>
        <v>-1.25E-3</v>
      </c>
      <c r="AK24" s="13">
        <f t="shared" si="21"/>
        <v>-1.25E-3</v>
      </c>
      <c r="AL24" s="13">
        <f t="shared" si="21"/>
        <v>-1.25E-3</v>
      </c>
      <c r="AM24" s="12"/>
      <c r="AN24" s="12"/>
    </row>
    <row r="25" spans="1:40" x14ac:dyDescent="0.35">
      <c r="B25" s="6" t="s">
        <v>22</v>
      </c>
      <c r="F25" s="7">
        <f ca="1">$T$21</f>
        <v>0.05</v>
      </c>
      <c r="G25" s="7">
        <f t="shared" ref="G25:O25" ca="1" si="22">F25+$T$22</f>
        <v>4.8750000000000002E-2</v>
      </c>
      <c r="H25" s="7">
        <f t="shared" ca="1" si="22"/>
        <v>4.7500000000000001E-2</v>
      </c>
      <c r="I25" s="7">
        <f t="shared" ca="1" si="22"/>
        <v>4.6249999999999999E-2</v>
      </c>
      <c r="J25" s="7">
        <f t="shared" ca="1" si="22"/>
        <v>4.4999999999999998E-2</v>
      </c>
      <c r="K25" s="7">
        <f t="shared" ca="1" si="22"/>
        <v>4.3749999999999997E-2</v>
      </c>
      <c r="L25" s="7">
        <f t="shared" ca="1" si="22"/>
        <v>4.2499999999999996E-2</v>
      </c>
      <c r="M25" s="7">
        <f t="shared" ca="1" si="22"/>
        <v>4.1249999999999995E-2</v>
      </c>
      <c r="N25" s="7">
        <f t="shared" ca="1" si="22"/>
        <v>3.9999999999999994E-2</v>
      </c>
      <c r="O25" s="7">
        <f t="shared" ca="1" si="22"/>
        <v>3.8749999999999993E-2</v>
      </c>
      <c r="P25" s="7"/>
      <c r="S25" t="s">
        <v>39</v>
      </c>
      <c r="T25" s="68">
        <f t="shared" ca="1" si="7"/>
        <v>1.25E-3</v>
      </c>
      <c r="U25" s="13">
        <v>1.25E-3</v>
      </c>
      <c r="V25" s="13">
        <v>1.25E-3</v>
      </c>
      <c r="W25" s="13">
        <v>1.25E-3</v>
      </c>
      <c r="X25" s="12">
        <f t="shared" ref="X25:X34" si="23">W25</f>
        <v>1.25E-3</v>
      </c>
      <c r="Y25" s="13">
        <f t="shared" si="8"/>
        <v>1.25E-3</v>
      </c>
      <c r="Z25" s="13">
        <f t="shared" si="10"/>
        <v>1.25E-3</v>
      </c>
      <c r="AA25" s="13">
        <f>$U25</f>
        <v>1.25E-3</v>
      </c>
      <c r="AB25" s="13">
        <f>$U25</f>
        <v>1.25E-3</v>
      </c>
      <c r="AC25" s="46">
        <v>2.5000000000000001E-3</v>
      </c>
      <c r="AD25" s="72">
        <f t="shared" ref="AD25:AL25" si="24">$U25</f>
        <v>1.25E-3</v>
      </c>
      <c r="AE25" s="13">
        <f t="shared" si="24"/>
        <v>1.25E-3</v>
      </c>
      <c r="AF25" s="13">
        <f t="shared" si="24"/>
        <v>1.25E-3</v>
      </c>
      <c r="AG25" s="13">
        <f t="shared" si="24"/>
        <v>1.25E-3</v>
      </c>
      <c r="AH25" s="13">
        <f t="shared" si="24"/>
        <v>1.25E-3</v>
      </c>
      <c r="AI25" s="13">
        <f t="shared" si="24"/>
        <v>1.25E-3</v>
      </c>
      <c r="AJ25" s="13">
        <f t="shared" si="24"/>
        <v>1.25E-3</v>
      </c>
      <c r="AK25" s="13">
        <f t="shared" si="24"/>
        <v>1.25E-3</v>
      </c>
      <c r="AL25" s="13">
        <f t="shared" si="24"/>
        <v>1.25E-3</v>
      </c>
      <c r="AM25" s="12"/>
      <c r="AN25" s="12"/>
    </row>
    <row r="26" spans="1:40" x14ac:dyDescent="0.35">
      <c r="B26" s="3" t="s">
        <v>99</v>
      </c>
      <c r="E26" s="65">
        <f>E24/E$21</f>
        <v>0.8</v>
      </c>
      <c r="F26" s="65">
        <f t="shared" ref="F26:O26" ca="1" si="25">F24/F$21</f>
        <v>0.7850467289719627</v>
      </c>
      <c r="G26" s="65">
        <f t="shared" ca="1" si="25"/>
        <v>0.76927946907098343</v>
      </c>
      <c r="H26" s="65">
        <f t="shared" ca="1" si="25"/>
        <v>0.75270061601535942</v>
      </c>
      <c r="I26" s="65">
        <f t="shared" ca="1" si="25"/>
        <v>0.73532004780940274</v>
      </c>
      <c r="J26" s="65">
        <f t="shared" ca="1" si="25"/>
        <v>0.71715576516471302</v>
      </c>
      <c r="K26" s="65">
        <f t="shared" ca="1" si="25"/>
        <v>0.69823441625908766</v>
      </c>
      <c r="L26" s="65">
        <f t="shared" ca="1" si="25"/>
        <v>0.67859167170896972</v>
      </c>
      <c r="M26" s="65">
        <f t="shared" ca="1" si="25"/>
        <v>0.65827241723747942</v>
      </c>
      <c r="N26" s="65">
        <f t="shared" ca="1" si="25"/>
        <v>0.63733073535171014</v>
      </c>
      <c r="O26" s="65">
        <f t="shared" ca="1" si="25"/>
        <v>0.61582965351406349</v>
      </c>
      <c r="P26" s="65"/>
      <c r="S26" t="s">
        <v>95</v>
      </c>
      <c r="T26" s="54">
        <f t="shared" ca="1" si="7"/>
        <v>0</v>
      </c>
      <c r="U26">
        <v>0</v>
      </c>
      <c r="V26">
        <v>0</v>
      </c>
      <c r="W26">
        <v>0</v>
      </c>
      <c r="X26">
        <v>50</v>
      </c>
      <c r="Y26" s="16">
        <f t="shared" si="8"/>
        <v>0</v>
      </c>
      <c r="Z26" s="16">
        <f t="shared" si="10"/>
        <v>0</v>
      </c>
      <c r="AA26" s="16">
        <f>$U26</f>
        <v>0</v>
      </c>
      <c r="AB26" s="16">
        <f>$U26</f>
        <v>0</v>
      </c>
      <c r="AC26" s="75">
        <f t="shared" ref="AC26:AC34" si="26">$U26</f>
        <v>0</v>
      </c>
      <c r="AD26" s="48">
        <v>50</v>
      </c>
      <c r="AE26" s="16">
        <f t="shared" ref="AE26:AL26" si="27">$U26</f>
        <v>0</v>
      </c>
      <c r="AF26" s="16">
        <f t="shared" si="27"/>
        <v>0</v>
      </c>
      <c r="AG26" s="16">
        <f t="shared" si="27"/>
        <v>0</v>
      </c>
      <c r="AH26" s="16">
        <f t="shared" si="27"/>
        <v>0</v>
      </c>
      <c r="AI26" s="16">
        <f t="shared" si="27"/>
        <v>0</v>
      </c>
      <c r="AJ26" s="16">
        <f t="shared" si="27"/>
        <v>0</v>
      </c>
      <c r="AK26" s="16">
        <f t="shared" si="27"/>
        <v>0</v>
      </c>
      <c r="AL26" s="16">
        <f t="shared" si="27"/>
        <v>0</v>
      </c>
      <c r="AM26" s="12"/>
      <c r="AN26" s="12"/>
    </row>
    <row r="27" spans="1:40" x14ac:dyDescent="0.35">
      <c r="S27" t="s">
        <v>26</v>
      </c>
      <c r="T27" s="67">
        <f t="shared" ca="1" si="7"/>
        <v>0.21</v>
      </c>
      <c r="U27" s="12">
        <v>0.21</v>
      </c>
      <c r="V27" s="12">
        <v>0.21</v>
      </c>
      <c r="W27" s="12">
        <v>0.21</v>
      </c>
      <c r="X27" s="12">
        <f t="shared" si="23"/>
        <v>0.21</v>
      </c>
      <c r="Y27" s="12">
        <f t="shared" si="8"/>
        <v>0.21</v>
      </c>
      <c r="Z27" s="12">
        <f t="shared" si="10"/>
        <v>0.21</v>
      </c>
      <c r="AA27" s="12">
        <f t="shared" ref="AA27:AB34" si="28">$U27</f>
        <v>0.21</v>
      </c>
      <c r="AB27" s="12">
        <f t="shared" si="28"/>
        <v>0.21</v>
      </c>
      <c r="AC27" s="12">
        <f t="shared" si="26"/>
        <v>0.21</v>
      </c>
      <c r="AD27" s="12">
        <f t="shared" ref="AD27:AD34" si="29">$U27</f>
        <v>0.21</v>
      </c>
      <c r="AE27" s="45">
        <v>0.26</v>
      </c>
      <c r="AF27" s="12">
        <f t="shared" ref="AF27:AL27" si="30">$U27</f>
        <v>0.21</v>
      </c>
      <c r="AG27" s="12">
        <f t="shared" si="30"/>
        <v>0.21</v>
      </c>
      <c r="AH27" s="12">
        <f t="shared" si="30"/>
        <v>0.21</v>
      </c>
      <c r="AI27" s="12">
        <f t="shared" si="30"/>
        <v>0.21</v>
      </c>
      <c r="AJ27" s="12">
        <f t="shared" si="30"/>
        <v>0.21</v>
      </c>
      <c r="AK27" s="12">
        <f t="shared" si="30"/>
        <v>0.21</v>
      </c>
      <c r="AL27" s="12">
        <f t="shared" si="30"/>
        <v>0.21</v>
      </c>
      <c r="AM27" s="22"/>
      <c r="AN27" s="22"/>
    </row>
    <row r="28" spans="1:40" x14ac:dyDescent="0.35">
      <c r="B28" t="s">
        <v>100</v>
      </c>
      <c r="E28" s="62">
        <f>E21-E24</f>
        <v>256.79999999999995</v>
      </c>
      <c r="F28" s="66">
        <f ca="1">E28*(1+F29)</f>
        <v>295.31999999999994</v>
      </c>
      <c r="G28" s="66">
        <f t="shared" ref="G28:O28" ca="1" si="31">F28*(1+G29)</f>
        <v>339.24884999999989</v>
      </c>
      <c r="H28" s="66">
        <f t="shared" ca="1" si="31"/>
        <v>389.28805537499989</v>
      </c>
      <c r="I28" s="66">
        <f t="shared" ca="1" si="31"/>
        <v>446.22143347359361</v>
      </c>
      <c r="J28" s="66">
        <f t="shared" ca="1" si="31"/>
        <v>510.92354132726467</v>
      </c>
      <c r="K28" s="66">
        <f t="shared" ca="1" si="31"/>
        <v>584.36880039305902</v>
      </c>
      <c r="L28" s="66">
        <f t="shared" ca="1" si="31"/>
        <v>667.64135444906992</v>
      </c>
      <c r="M28" s="66">
        <f t="shared" ca="1" si="31"/>
        <v>761.94569576500101</v>
      </c>
      <c r="N28" s="66">
        <f t="shared" ca="1" si="31"/>
        <v>868.61809317210111</v>
      </c>
      <c r="O28" s="66">
        <f t="shared" ca="1" si="31"/>
        <v>989.13885359973006</v>
      </c>
      <c r="P28" s="7">
        <f ca="1">_xlfn.RRI(5,E28,J28)</f>
        <v>0.1474986383422876</v>
      </c>
      <c r="Q28" s="7">
        <f ca="1">_xlfn.RRI(10,E28,O28)</f>
        <v>0.14436936779642218</v>
      </c>
      <c r="S28" t="s">
        <v>27</v>
      </c>
      <c r="T28" s="67">
        <f t="shared" ca="1" si="7"/>
        <v>0.04</v>
      </c>
      <c r="U28" s="12">
        <v>0.04</v>
      </c>
      <c r="V28" s="12">
        <v>0.04</v>
      </c>
      <c r="W28" s="12">
        <v>0.04</v>
      </c>
      <c r="X28" s="12">
        <f t="shared" si="23"/>
        <v>0.04</v>
      </c>
      <c r="Y28" s="12">
        <f t="shared" si="8"/>
        <v>0.04</v>
      </c>
      <c r="Z28" s="12">
        <f t="shared" si="10"/>
        <v>0.04</v>
      </c>
      <c r="AA28" s="12">
        <f t="shared" si="28"/>
        <v>0.04</v>
      </c>
      <c r="AB28" s="12">
        <f t="shared" si="28"/>
        <v>0.04</v>
      </c>
      <c r="AC28" s="12">
        <f t="shared" si="26"/>
        <v>0.04</v>
      </c>
      <c r="AD28" s="12">
        <f t="shared" si="29"/>
        <v>0.04</v>
      </c>
      <c r="AE28" s="12">
        <f t="shared" ref="AE28:AE34" si="32">$U28</f>
        <v>0.04</v>
      </c>
      <c r="AF28" s="45">
        <v>0.05</v>
      </c>
      <c r="AG28" s="12">
        <f t="shared" ref="AG28:AL28" si="33">$U28</f>
        <v>0.04</v>
      </c>
      <c r="AH28" s="12">
        <f t="shared" si="33"/>
        <v>0.04</v>
      </c>
      <c r="AI28" s="12">
        <f t="shared" si="33"/>
        <v>0.04</v>
      </c>
      <c r="AJ28" s="12">
        <f t="shared" si="33"/>
        <v>0.04</v>
      </c>
      <c r="AK28" s="12">
        <f t="shared" si="33"/>
        <v>0.04</v>
      </c>
      <c r="AL28" s="12">
        <f t="shared" si="33"/>
        <v>0.04</v>
      </c>
      <c r="AM28" s="22"/>
      <c r="AN28" s="22"/>
    </row>
    <row r="29" spans="1:40" x14ac:dyDescent="0.35">
      <c r="B29" s="6" t="s">
        <v>22</v>
      </c>
      <c r="E29" s="63"/>
      <c r="F29" s="64">
        <f ca="1">$T$23</f>
        <v>0.15</v>
      </c>
      <c r="G29" s="64">
        <f t="shared" ref="G29:O29" ca="1" si="34">F29+$T$24</f>
        <v>0.14874999999999999</v>
      </c>
      <c r="H29" s="64">
        <f t="shared" ca="1" si="34"/>
        <v>0.14749999999999999</v>
      </c>
      <c r="I29" s="64">
        <f t="shared" ca="1" si="34"/>
        <v>0.14624999999999999</v>
      </c>
      <c r="J29" s="64">
        <f t="shared" ca="1" si="34"/>
        <v>0.14499999999999999</v>
      </c>
      <c r="K29" s="64">
        <f t="shared" ca="1" si="34"/>
        <v>0.14374999999999999</v>
      </c>
      <c r="L29" s="64">
        <f t="shared" ca="1" si="34"/>
        <v>0.14249999999999999</v>
      </c>
      <c r="M29" s="64">
        <f t="shared" ca="1" si="34"/>
        <v>0.14124999999999999</v>
      </c>
      <c r="N29" s="64">
        <f t="shared" ca="1" si="34"/>
        <v>0.13999999999999999</v>
      </c>
      <c r="O29" s="64">
        <f t="shared" ca="1" si="34"/>
        <v>0.13874999999999998</v>
      </c>
      <c r="P29" s="7"/>
      <c r="S29" t="s">
        <v>28</v>
      </c>
      <c r="T29" s="67">
        <f t="shared" ca="1" si="7"/>
        <v>0.04</v>
      </c>
      <c r="U29" s="12">
        <v>0.04</v>
      </c>
      <c r="V29" s="12">
        <v>0.04</v>
      </c>
      <c r="W29" s="12">
        <v>0.04</v>
      </c>
      <c r="X29" s="12">
        <f t="shared" si="23"/>
        <v>0.04</v>
      </c>
      <c r="Y29" s="12">
        <f t="shared" si="8"/>
        <v>0.04</v>
      </c>
      <c r="Z29" s="12">
        <f t="shared" si="10"/>
        <v>0.04</v>
      </c>
      <c r="AA29" s="12">
        <f t="shared" si="28"/>
        <v>0.04</v>
      </c>
      <c r="AB29" s="12">
        <f t="shared" si="28"/>
        <v>0.04</v>
      </c>
      <c r="AC29" s="12">
        <f t="shared" si="26"/>
        <v>0.04</v>
      </c>
      <c r="AD29" s="12">
        <f t="shared" si="29"/>
        <v>0.04</v>
      </c>
      <c r="AE29" s="12">
        <f t="shared" si="32"/>
        <v>0.04</v>
      </c>
      <c r="AF29" s="12">
        <f t="shared" ref="AF29:AF34" si="35">$U29</f>
        <v>0.04</v>
      </c>
      <c r="AG29" s="45">
        <v>0.05</v>
      </c>
      <c r="AH29" s="12">
        <f>$U29</f>
        <v>0.04</v>
      </c>
      <c r="AI29" s="12">
        <f>$U29</f>
        <v>0.04</v>
      </c>
      <c r="AJ29" s="12">
        <f>$U29</f>
        <v>0.04</v>
      </c>
      <c r="AK29" s="12">
        <f>$U29</f>
        <v>0.04</v>
      </c>
      <c r="AL29" s="12">
        <f>$U29</f>
        <v>0.04</v>
      </c>
      <c r="AM29" s="16"/>
      <c r="AN29" s="16"/>
    </row>
    <row r="30" spans="1:40" x14ac:dyDescent="0.35">
      <c r="B30" s="6" t="s">
        <v>99</v>
      </c>
      <c r="E30" s="65">
        <f>E28/E$21</f>
        <v>0.19999999999999996</v>
      </c>
      <c r="F30" s="65">
        <f t="shared" ref="F30:O30" ca="1" si="36">F28/F$21</f>
        <v>0.21495327102803732</v>
      </c>
      <c r="G30" s="65">
        <f t="shared" ca="1" si="36"/>
        <v>0.23072053092901654</v>
      </c>
      <c r="H30" s="65">
        <f t="shared" ca="1" si="36"/>
        <v>0.24729938398464055</v>
      </c>
      <c r="I30" s="65">
        <f t="shared" ca="1" si="36"/>
        <v>0.26467995219059726</v>
      </c>
      <c r="J30" s="65">
        <f t="shared" ca="1" si="36"/>
        <v>0.28284423483528692</v>
      </c>
      <c r="K30" s="65">
        <f t="shared" ca="1" si="36"/>
        <v>0.30176558374091234</v>
      </c>
      <c r="L30" s="65">
        <f t="shared" ca="1" si="36"/>
        <v>0.32140832829103022</v>
      </c>
      <c r="M30" s="65">
        <f t="shared" ca="1" si="36"/>
        <v>0.34172758276252069</v>
      </c>
      <c r="N30" s="65">
        <f t="shared" ca="1" si="36"/>
        <v>0.3626692646482898</v>
      </c>
      <c r="O30" s="65">
        <f t="shared" ca="1" si="36"/>
        <v>0.38417034648593662</v>
      </c>
      <c r="P30" s="7"/>
      <c r="S30" t="s">
        <v>18</v>
      </c>
      <c r="T30" s="69">
        <f t="shared" ca="1" si="7"/>
        <v>8</v>
      </c>
      <c r="U30" s="22">
        <v>8</v>
      </c>
      <c r="V30" s="22">
        <v>8</v>
      </c>
      <c r="W30" s="22">
        <v>8</v>
      </c>
      <c r="X30" s="12">
        <f t="shared" si="23"/>
        <v>8</v>
      </c>
      <c r="Y30" s="22">
        <f t="shared" si="8"/>
        <v>8</v>
      </c>
      <c r="Z30" s="22">
        <f t="shared" si="10"/>
        <v>8</v>
      </c>
      <c r="AA30" s="22">
        <f t="shared" si="28"/>
        <v>8</v>
      </c>
      <c r="AB30" s="22">
        <f t="shared" si="28"/>
        <v>8</v>
      </c>
      <c r="AC30" s="22">
        <f t="shared" si="26"/>
        <v>8</v>
      </c>
      <c r="AD30" s="22">
        <f t="shared" si="29"/>
        <v>8</v>
      </c>
      <c r="AE30" s="22">
        <f t="shared" si="32"/>
        <v>8</v>
      </c>
      <c r="AF30" s="22">
        <f t="shared" si="35"/>
        <v>8</v>
      </c>
      <c r="AG30" s="22">
        <f>$U30</f>
        <v>8</v>
      </c>
      <c r="AH30" s="47">
        <v>8.5</v>
      </c>
      <c r="AI30" s="22">
        <f>$U30</f>
        <v>8</v>
      </c>
      <c r="AJ30" s="22">
        <f>$U30</f>
        <v>8</v>
      </c>
      <c r="AK30" s="22">
        <f>$U30</f>
        <v>8</v>
      </c>
      <c r="AL30" s="22">
        <f>$U30</f>
        <v>8</v>
      </c>
      <c r="AM30" s="12"/>
      <c r="AN30" s="12"/>
    </row>
    <row r="31" spans="1:40" x14ac:dyDescent="0.35">
      <c r="P31" s="7"/>
      <c r="S31" t="s">
        <v>59</v>
      </c>
      <c r="T31" s="69">
        <f t="shared" ca="1" si="7"/>
        <v>3.5</v>
      </c>
      <c r="U31" s="22">
        <v>3.5</v>
      </c>
      <c r="V31" s="22">
        <v>3.5</v>
      </c>
      <c r="W31" s="22">
        <v>3.5</v>
      </c>
      <c r="X31" s="22">
        <v>3.5</v>
      </c>
      <c r="Y31" s="22">
        <f t="shared" si="8"/>
        <v>3.5</v>
      </c>
      <c r="Z31" s="22">
        <f t="shared" si="10"/>
        <v>3.5</v>
      </c>
      <c r="AA31" s="22">
        <f t="shared" si="28"/>
        <v>3.5</v>
      </c>
      <c r="AB31" s="22">
        <f t="shared" si="28"/>
        <v>3.5</v>
      </c>
      <c r="AC31" s="22">
        <f t="shared" si="26"/>
        <v>3.5</v>
      </c>
      <c r="AD31" s="22">
        <f t="shared" si="29"/>
        <v>3.5</v>
      </c>
      <c r="AE31" s="22">
        <f t="shared" si="32"/>
        <v>3.5</v>
      </c>
      <c r="AF31" s="22">
        <f t="shared" si="35"/>
        <v>3.5</v>
      </c>
      <c r="AG31" s="22">
        <f>$U31</f>
        <v>3.5</v>
      </c>
      <c r="AH31" s="22">
        <f>$U31</f>
        <v>3.5</v>
      </c>
      <c r="AI31" s="47">
        <v>3.5</v>
      </c>
      <c r="AJ31" s="22">
        <f>$U31</f>
        <v>3.5</v>
      </c>
      <c r="AK31" s="22">
        <f>$U31</f>
        <v>3.5</v>
      </c>
      <c r="AL31" s="22">
        <f>$U31</f>
        <v>3.5</v>
      </c>
      <c r="AM31" s="22"/>
      <c r="AN31" s="22"/>
    </row>
    <row r="32" spans="1:40" ht="15" thickBot="1" x14ac:dyDescent="0.4">
      <c r="B32" s="43" t="s">
        <v>17</v>
      </c>
      <c r="C32" s="43"/>
      <c r="D32" s="43"/>
      <c r="E32" s="43">
        <f>E4</f>
        <v>210.00000000000003</v>
      </c>
      <c r="F32" s="44">
        <f t="shared" ref="F32:O32" ca="1" si="37">F33*F21</f>
        <v>226.41735000000006</v>
      </c>
      <c r="G32" s="44">
        <f t="shared" ca="1" si="37"/>
        <v>244.16009662500005</v>
      </c>
      <c r="H32" s="44">
        <f t="shared" ca="1" si="37"/>
        <v>263.35867217203128</v>
      </c>
      <c r="I32" s="44">
        <f t="shared" ca="1" si="37"/>
        <v>284.15921770259303</v>
      </c>
      <c r="J32" s="44">
        <f t="shared" ca="1" si="37"/>
        <v>306.72547954122655</v>
      </c>
      <c r="K32" s="44">
        <f t="shared" ca="1" si="37"/>
        <v>331.24089658167202</v>
      </c>
      <c r="L32" s="44">
        <f t="shared" ca="1" si="37"/>
        <v>357.91089151005406</v>
      </c>
      <c r="M32" s="44">
        <f t="shared" ca="1" si="37"/>
        <v>386.96537920406575</v>
      </c>
      <c r="N32" s="44">
        <f t="shared" ca="1" si="37"/>
        <v>418.66150560799929</v>
      </c>
      <c r="O32" s="44">
        <f t="shared" ca="1" si="37"/>
        <v>453.2866302991971</v>
      </c>
      <c r="P32" s="7">
        <f ca="1">_xlfn.RRI(5,E32,J32)</f>
        <v>7.8713494920497951E-2</v>
      </c>
      <c r="Q32" s="7">
        <f ca="1">_xlfn.RRI(10,E32,O32)</f>
        <v>7.9979126099677167E-2</v>
      </c>
      <c r="S32" t="s">
        <v>60</v>
      </c>
      <c r="T32" s="70">
        <f t="shared" ca="1" si="7"/>
        <v>550</v>
      </c>
      <c r="U32" s="16">
        <v>550</v>
      </c>
      <c r="V32" s="16">
        <v>550</v>
      </c>
      <c r="W32" s="16">
        <v>550</v>
      </c>
      <c r="X32" s="12">
        <f t="shared" si="23"/>
        <v>550</v>
      </c>
      <c r="Y32" s="16">
        <f t="shared" si="8"/>
        <v>550</v>
      </c>
      <c r="Z32" s="16">
        <f t="shared" si="10"/>
        <v>550</v>
      </c>
      <c r="AA32" s="16">
        <f t="shared" si="28"/>
        <v>550</v>
      </c>
      <c r="AB32" s="16">
        <f t="shared" si="28"/>
        <v>550</v>
      </c>
      <c r="AC32" s="16">
        <f t="shared" si="26"/>
        <v>550</v>
      </c>
      <c r="AD32" s="16">
        <f t="shared" si="29"/>
        <v>550</v>
      </c>
      <c r="AE32" s="16">
        <f t="shared" si="32"/>
        <v>550</v>
      </c>
      <c r="AF32" s="16">
        <f t="shared" si="35"/>
        <v>550</v>
      </c>
      <c r="AG32" s="16">
        <f>$U32</f>
        <v>550</v>
      </c>
      <c r="AH32" s="16">
        <f>$U32</f>
        <v>550</v>
      </c>
      <c r="AI32" s="16">
        <f>$U32</f>
        <v>550</v>
      </c>
      <c r="AJ32" s="48">
        <v>600</v>
      </c>
      <c r="AK32" s="16">
        <f>$U32</f>
        <v>550</v>
      </c>
      <c r="AL32" s="16">
        <f>$U32</f>
        <v>550</v>
      </c>
    </row>
    <row r="33" spans="2:38" x14ac:dyDescent="0.35">
      <c r="B33" s="6" t="s">
        <v>23</v>
      </c>
      <c r="C33" s="6"/>
      <c r="D33" s="6"/>
      <c r="E33" s="7">
        <f>E32/E21</f>
        <v>0.1635514018691589</v>
      </c>
      <c r="F33" s="14">
        <f t="shared" ref="F33:O33" ca="1" si="38">E33+$T$25</f>
        <v>0.1648014018691589</v>
      </c>
      <c r="G33" s="14">
        <f t="shared" ca="1" si="38"/>
        <v>0.1660514018691589</v>
      </c>
      <c r="H33" s="14">
        <f t="shared" ca="1" si="38"/>
        <v>0.1673014018691589</v>
      </c>
      <c r="I33" s="14">
        <f t="shared" ca="1" si="38"/>
        <v>0.1685514018691589</v>
      </c>
      <c r="J33" s="14">
        <f t="shared" ca="1" si="38"/>
        <v>0.1698014018691589</v>
      </c>
      <c r="K33" s="14">
        <f t="shared" ca="1" si="38"/>
        <v>0.1710514018691589</v>
      </c>
      <c r="L33" s="14">
        <f t="shared" ca="1" si="38"/>
        <v>0.1723014018691589</v>
      </c>
      <c r="M33" s="14">
        <f t="shared" ca="1" si="38"/>
        <v>0.17355140186915891</v>
      </c>
      <c r="N33" s="14">
        <f t="shared" ca="1" si="38"/>
        <v>0.17480140186915891</v>
      </c>
      <c r="O33" s="14">
        <f t="shared" ca="1" si="38"/>
        <v>0.17605140186915891</v>
      </c>
      <c r="P33" s="7"/>
      <c r="S33" t="s">
        <v>61</v>
      </c>
      <c r="T33" s="67">
        <f t="shared" ca="1" si="7"/>
        <v>0.02</v>
      </c>
      <c r="U33" s="12">
        <v>0.02</v>
      </c>
      <c r="V33" s="12">
        <v>0.02</v>
      </c>
      <c r="W33" s="12">
        <v>0.02</v>
      </c>
      <c r="X33" s="12">
        <f t="shared" si="23"/>
        <v>0.02</v>
      </c>
      <c r="Y33" s="12">
        <f t="shared" si="8"/>
        <v>0.02</v>
      </c>
      <c r="Z33" s="12">
        <f t="shared" si="10"/>
        <v>0.02</v>
      </c>
      <c r="AA33" s="12">
        <f t="shared" si="28"/>
        <v>0.02</v>
      </c>
      <c r="AB33" s="12">
        <f t="shared" si="28"/>
        <v>0.02</v>
      </c>
      <c r="AC33" s="12">
        <f t="shared" si="26"/>
        <v>0.02</v>
      </c>
      <c r="AD33" s="12">
        <f t="shared" si="29"/>
        <v>0.02</v>
      </c>
      <c r="AE33" s="12">
        <f t="shared" si="32"/>
        <v>0.02</v>
      </c>
      <c r="AF33" s="12">
        <f t="shared" si="35"/>
        <v>0.02</v>
      </c>
      <c r="AG33" s="12">
        <f>$U33</f>
        <v>0.02</v>
      </c>
      <c r="AH33" s="12">
        <f>$U33</f>
        <v>0.02</v>
      </c>
      <c r="AI33" s="12">
        <f>$U33</f>
        <v>0.02</v>
      </c>
      <c r="AJ33" s="12">
        <f>$U33</f>
        <v>0.02</v>
      </c>
      <c r="AK33" s="45">
        <v>0.03</v>
      </c>
      <c r="AL33" s="12">
        <f>$U33</f>
        <v>0.02</v>
      </c>
    </row>
    <row r="34" spans="2:38" x14ac:dyDescent="0.35">
      <c r="B34" s="6" t="s">
        <v>22</v>
      </c>
      <c r="C34" s="6"/>
      <c r="D34" s="6"/>
      <c r="F34" s="7">
        <f ca="1">F32/E32-1</f>
        <v>7.8177857142857299E-2</v>
      </c>
      <c r="G34" s="7">
        <f t="shared" ref="G34:O34" ca="1" si="39">G32/F32-1</f>
        <v>7.8363016902194049E-2</v>
      </c>
      <c r="H34" s="7">
        <f t="shared" ca="1" si="39"/>
        <v>7.8631094156707659E-2</v>
      </c>
      <c r="I34" s="7">
        <f t="shared" ca="1" si="39"/>
        <v>7.8981813505554221E-2</v>
      </c>
      <c r="J34" s="7">
        <f t="shared" ca="1" si="39"/>
        <v>7.9414146833173715E-2</v>
      </c>
      <c r="K34" s="7">
        <f t="shared" ca="1" si="39"/>
        <v>7.9926248960841217E-2</v>
      </c>
      <c r="L34" s="7">
        <f t="shared" ca="1" si="39"/>
        <v>8.0515404962400838E-2</v>
      </c>
      <c r="M34" s="7">
        <f t="shared" ca="1" si="39"/>
        <v>8.1177992576388247E-2</v>
      </c>
      <c r="N34" s="7">
        <f t="shared" ca="1" si="39"/>
        <v>8.1909462983815517E-2</v>
      </c>
      <c r="O34" s="7">
        <f t="shared" ca="1" si="39"/>
        <v>8.2704342833988642E-2</v>
      </c>
      <c r="P34" s="7"/>
      <c r="S34" s="11" t="s">
        <v>80</v>
      </c>
      <c r="T34" s="71">
        <f t="shared" ca="1" si="7"/>
        <v>8.5</v>
      </c>
      <c r="U34" s="49">
        <v>8.5</v>
      </c>
      <c r="V34" s="49">
        <v>9</v>
      </c>
      <c r="W34" s="49">
        <v>7</v>
      </c>
      <c r="X34" s="49">
        <f t="shared" si="23"/>
        <v>7</v>
      </c>
      <c r="Y34" s="49">
        <f t="shared" si="8"/>
        <v>8.5</v>
      </c>
      <c r="Z34" s="49">
        <f t="shared" si="10"/>
        <v>8.5</v>
      </c>
      <c r="AA34" s="49">
        <f t="shared" si="28"/>
        <v>8.5</v>
      </c>
      <c r="AB34" s="49">
        <f t="shared" si="28"/>
        <v>8.5</v>
      </c>
      <c r="AC34" s="49">
        <f t="shared" si="26"/>
        <v>8.5</v>
      </c>
      <c r="AD34" s="49">
        <f t="shared" si="29"/>
        <v>8.5</v>
      </c>
      <c r="AE34" s="49">
        <f t="shared" si="32"/>
        <v>8.5</v>
      </c>
      <c r="AF34" s="49">
        <f t="shared" si="35"/>
        <v>8.5</v>
      </c>
      <c r="AG34" s="49">
        <f>$U34</f>
        <v>8.5</v>
      </c>
      <c r="AH34" s="49">
        <f>$U34</f>
        <v>8.5</v>
      </c>
      <c r="AI34" s="49">
        <f>$U34</f>
        <v>8.5</v>
      </c>
      <c r="AJ34" s="49">
        <f>$U34</f>
        <v>8.5</v>
      </c>
      <c r="AK34" s="49">
        <f>$U34</f>
        <v>8.5</v>
      </c>
      <c r="AL34" s="50">
        <v>9</v>
      </c>
    </row>
    <row r="35" spans="2:38" x14ac:dyDescent="0.35">
      <c r="P35" s="7"/>
      <c r="S35" t="s">
        <v>86</v>
      </c>
      <c r="T35" s="12">
        <f ca="1">D91</f>
        <v>0.20065916797370265</v>
      </c>
      <c r="U35" s="12">
        <f>U40</f>
        <v>0.20065916797369976</v>
      </c>
      <c r="V35" s="12">
        <f t="shared" ref="V35:X35" si="40">V40</f>
        <v>0.24386957258865527</v>
      </c>
      <c r="W35" s="12">
        <f t="shared" si="40"/>
        <v>0.1236164748164259</v>
      </c>
      <c r="X35" s="12">
        <f t="shared" si="40"/>
        <v>0.11026734036343933</v>
      </c>
    </row>
    <row r="36" spans="2:38" x14ac:dyDescent="0.35">
      <c r="B36" s="17" t="s">
        <v>24</v>
      </c>
      <c r="C36" s="17"/>
      <c r="D36" s="17"/>
      <c r="P36" s="7"/>
      <c r="S36" t="s">
        <v>85</v>
      </c>
      <c r="T36" s="22">
        <f ca="1">C91</f>
        <v>2.4951617658785632</v>
      </c>
      <c r="U36" s="22">
        <f t="shared" ref="U36:X37" si="41">U41</f>
        <v>2.4951617658785339</v>
      </c>
      <c r="V36" s="22">
        <f t="shared" si="41"/>
        <v>2.9776539285944299</v>
      </c>
      <c r="W36" s="22">
        <f t="shared" si="41"/>
        <v>1.7909789922211272</v>
      </c>
      <c r="X36" s="22">
        <f t="shared" si="41"/>
        <v>1.6870883402689982</v>
      </c>
    </row>
    <row r="37" spans="2:38" x14ac:dyDescent="0.35">
      <c r="B37" s="18" t="s">
        <v>6</v>
      </c>
      <c r="C37" s="18"/>
      <c r="D37" s="18"/>
      <c r="E37" s="19">
        <f>E32</f>
        <v>210.00000000000003</v>
      </c>
      <c r="F37" s="19">
        <f ca="1">F32-$T$26</f>
        <v>226.41735000000006</v>
      </c>
      <c r="G37" s="19">
        <f ca="1">G32-$T$26</f>
        <v>244.16009662500005</v>
      </c>
      <c r="H37" s="19">
        <f t="shared" ref="H37:O37" ca="1" si="42">H32</f>
        <v>263.35867217203128</v>
      </c>
      <c r="I37" s="19">
        <f t="shared" ca="1" si="42"/>
        <v>284.15921770259303</v>
      </c>
      <c r="J37" s="19">
        <f t="shared" ca="1" si="42"/>
        <v>306.72547954122655</v>
      </c>
      <c r="K37" s="19">
        <f t="shared" ca="1" si="42"/>
        <v>331.24089658167202</v>
      </c>
      <c r="L37" s="19">
        <f t="shared" ca="1" si="42"/>
        <v>357.91089151005406</v>
      </c>
      <c r="M37" s="19">
        <f t="shared" ca="1" si="42"/>
        <v>386.96537920406575</v>
      </c>
      <c r="N37" s="19">
        <f t="shared" ca="1" si="42"/>
        <v>418.66150560799929</v>
      </c>
      <c r="O37" s="19">
        <f t="shared" ca="1" si="42"/>
        <v>453.2866302991971</v>
      </c>
      <c r="P37" s="7">
        <f ca="1">_xlfn.RRI(5,E37,J37)</f>
        <v>7.8713494920497951E-2</v>
      </c>
      <c r="Q37" s="7">
        <f ca="1">_xlfn.RRI(10,E37,O37)</f>
        <v>7.9979126099677167E-2</v>
      </c>
      <c r="S37" t="s">
        <v>92</v>
      </c>
      <c r="T37" s="22">
        <f ca="1">MIN(F71:J71)</f>
        <v>1.9260375007529029</v>
      </c>
      <c r="U37" s="22">
        <f t="shared" si="41"/>
        <v>1.9260375007529029</v>
      </c>
      <c r="V37" s="22">
        <f t="shared" si="41"/>
        <v>1.9570097122810715</v>
      </c>
      <c r="W37" s="22">
        <f t="shared" si="41"/>
        <v>1.895115989102103</v>
      </c>
      <c r="X37" s="22">
        <f t="shared" si="41"/>
        <v>1.356090604694999</v>
      </c>
    </row>
    <row r="38" spans="2:38" x14ac:dyDescent="0.35">
      <c r="B38" t="s">
        <v>25</v>
      </c>
      <c r="E38" s="16"/>
      <c r="F38" s="16">
        <f ca="1">-F62</f>
        <v>-62.43590084244908</v>
      </c>
      <c r="G38" s="16">
        <f t="shared" ref="G38:O38" ca="1" si="43">-G62</f>
        <v>-51.116848991733534</v>
      </c>
      <c r="H38" s="16">
        <f t="shared" ca="1" si="43"/>
        <v>-41.619836231128424</v>
      </c>
      <c r="I38" s="16">
        <f t="shared" ca="1" si="43"/>
        <v>-30.399571826173386</v>
      </c>
      <c r="J38" s="16">
        <f t="shared" ca="1" si="43"/>
        <v>-17.24518246182317</v>
      </c>
      <c r="K38" s="16">
        <f t="shared" ca="1" si="43"/>
        <v>-5.0783375595799622</v>
      </c>
      <c r="L38" s="16">
        <f t="shared" ca="1" si="43"/>
        <v>0</v>
      </c>
      <c r="M38" s="16">
        <f t="shared" ca="1" si="43"/>
        <v>0</v>
      </c>
      <c r="N38" s="16">
        <f t="shared" ca="1" si="43"/>
        <v>0</v>
      </c>
      <c r="O38" s="16">
        <f t="shared" ca="1" si="43"/>
        <v>0</v>
      </c>
      <c r="P38" s="7"/>
    </row>
    <row r="39" spans="2:38" x14ac:dyDescent="0.35">
      <c r="B39" t="s">
        <v>26</v>
      </c>
      <c r="E39" s="16"/>
      <c r="F39" s="16">
        <f t="shared" ref="F39:O39" ca="1" si="44">-SUM(F37:F38,F40)*$T$27</f>
        <v>-22.895512323085701</v>
      </c>
      <c r="G39" s="16">
        <f t="shared" ca="1" si="44"/>
        <v>-28.187817342985962</v>
      </c>
      <c r="H39" s="16">
        <f t="shared" ca="1" si="44"/>
        <v>-33.342236782239588</v>
      </c>
      <c r="I39" s="16">
        <f t="shared" ca="1" si="44"/>
        <v>-39.128044909285691</v>
      </c>
      <c r="J39" s="16">
        <f t="shared" ca="1" si="44"/>
        <v>-45.617289025180142</v>
      </c>
      <c r="K39" s="16">
        <f t="shared" ca="1" si="44"/>
        <v>-52.227544423864472</v>
      </c>
      <c r="L39" s="16">
        <f t="shared" ca="1" si="44"/>
        <v>-57.7124942527484</v>
      </c>
      <c r="M39" s="16">
        <f t="shared" ca="1" si="44"/>
        <v>-62.533355220973654</v>
      </c>
      <c r="N39" s="16">
        <f t="shared" ca="1" si="44"/>
        <v>-67.8003324048819</v>
      </c>
      <c r="O39" s="16">
        <f t="shared" ca="1" si="44"/>
        <v>-73.562374270572946</v>
      </c>
      <c r="P39" s="7"/>
      <c r="U39">
        <v>1</v>
      </c>
      <c r="V39">
        <f>U39+1</f>
        <v>2</v>
      </c>
      <c r="W39">
        <f>V39+1</f>
        <v>3</v>
      </c>
      <c r="X39">
        <f>W39+1</f>
        <v>4</v>
      </c>
      <c r="Y39">
        <f>X39+1</f>
        <v>5</v>
      </c>
      <c r="Z39">
        <f>Y39+1</f>
        <v>6</v>
      </c>
      <c r="AA39">
        <f t="shared" ref="AA39:AL39" si="45">Z39+1</f>
        <v>7</v>
      </c>
      <c r="AB39">
        <f t="shared" si="45"/>
        <v>8</v>
      </c>
      <c r="AC39">
        <f t="shared" si="45"/>
        <v>9</v>
      </c>
      <c r="AD39">
        <f t="shared" si="45"/>
        <v>10</v>
      </c>
      <c r="AE39">
        <f t="shared" si="45"/>
        <v>11</v>
      </c>
      <c r="AF39">
        <f t="shared" si="45"/>
        <v>12</v>
      </c>
      <c r="AG39">
        <f t="shared" si="45"/>
        <v>13</v>
      </c>
      <c r="AH39">
        <f t="shared" si="45"/>
        <v>14</v>
      </c>
      <c r="AI39">
        <f t="shared" si="45"/>
        <v>15</v>
      </c>
      <c r="AJ39">
        <f t="shared" si="45"/>
        <v>16</v>
      </c>
      <c r="AK39">
        <f t="shared" si="45"/>
        <v>17</v>
      </c>
      <c r="AL39">
        <f t="shared" si="45"/>
        <v>18</v>
      </c>
    </row>
    <row r="40" spans="2:38" x14ac:dyDescent="0.35">
      <c r="B40" t="s">
        <v>27</v>
      </c>
      <c r="E40" s="16"/>
      <c r="F40" s="16">
        <f t="shared" ref="F40:O40" ca="1" si="46">F21*-$T$28</f>
        <v>-54.955200000000005</v>
      </c>
      <c r="G40" s="16">
        <f t="shared" ca="1" si="46"/>
        <v>-58.815546000000005</v>
      </c>
      <c r="H40" s="16">
        <f t="shared" ca="1" si="46"/>
        <v>-62.966279835000009</v>
      </c>
      <c r="I40" s="16">
        <f t="shared" ca="1" si="46"/>
        <v>-67.435622498868753</v>
      </c>
      <c r="J40" s="16">
        <f t="shared" ca="1" si="46"/>
        <v>-72.25511124521222</v>
      </c>
      <c r="K40" s="16">
        <f t="shared" ca="1" si="46"/>
        <v>-77.459966527499304</v>
      </c>
      <c r="L40" s="16">
        <f t="shared" ca="1" si="46"/>
        <v>-83.089490306490262</v>
      </c>
      <c r="M40" s="16">
        <f t="shared" ca="1" si="46"/>
        <v>-89.187497199429259</v>
      </c>
      <c r="N40" s="16">
        <f t="shared" ca="1" si="46"/>
        <v>-95.802779870466438</v>
      </c>
      <c r="O40" s="16">
        <f t="shared" ca="1" si="46"/>
        <v>-102.98960996313541</v>
      </c>
      <c r="P40" s="7"/>
      <c r="S40" t="str">
        <f t="shared" ref="S40:T42" si="47">S35</f>
        <v>IRR</v>
      </c>
      <c r="T40" s="12">
        <f t="shared" ca="1" si="47"/>
        <v>0.20065916797370265</v>
      </c>
      <c r="U40" s="12">
        <f t="dataTable" ref="U40:AL42" dt2D="0" dtr="1" r1="T19" ca="1"/>
        <v>0.20065916797369976</v>
      </c>
      <c r="V40" s="12">
        <v>0.24386957258865527</v>
      </c>
      <c r="W40" s="12">
        <v>0.1236164748164259</v>
      </c>
      <c r="X40" s="12">
        <v>0.11026734036343933</v>
      </c>
      <c r="Y40" s="12">
        <v>0.21093261927665963</v>
      </c>
      <c r="Z40" s="12">
        <v>0.19824885053283592</v>
      </c>
      <c r="AA40" s="12">
        <v>0.21971284043668105</v>
      </c>
      <c r="AB40" s="12">
        <v>0.19980059236640169</v>
      </c>
      <c r="AC40" s="12">
        <v>0.21235958923579168</v>
      </c>
      <c r="AD40" s="12">
        <v>0.19049003161062505</v>
      </c>
      <c r="AE40" s="12">
        <v>0.19614892564453235</v>
      </c>
      <c r="AF40" s="12">
        <v>0.19346419724954167</v>
      </c>
      <c r="AG40" s="12">
        <v>0.20006472582793067</v>
      </c>
      <c r="AH40" s="12">
        <v>0.17685364109682178</v>
      </c>
      <c r="AI40" s="12">
        <v>0.20065916797461614</v>
      </c>
      <c r="AJ40" s="12">
        <v>0.19954231983753967</v>
      </c>
      <c r="AK40" s="12">
        <v>0.20065916895935909</v>
      </c>
      <c r="AL40" s="12">
        <v>0.21511094303489142</v>
      </c>
    </row>
    <row r="41" spans="2:38" x14ac:dyDescent="0.35">
      <c r="B41" t="s">
        <v>28</v>
      </c>
      <c r="E41" s="16"/>
      <c r="F41" s="16">
        <f t="shared" ref="F41:O41" ca="1" si="48">-(F21-E21)*$T$29</f>
        <v>-3.5952000000000046</v>
      </c>
      <c r="G41" s="16">
        <f t="shared" ca="1" si="48"/>
        <v>-3.8603459999999998</v>
      </c>
      <c r="H41" s="16">
        <f t="shared" ca="1" si="48"/>
        <v>-4.1507338350000014</v>
      </c>
      <c r="I41" s="16">
        <f t="shared" ca="1" si="48"/>
        <v>-4.4693426638687468</v>
      </c>
      <c r="J41" s="16">
        <f t="shared" ca="1" si="48"/>
        <v>-4.8194887463434677</v>
      </c>
      <c r="K41" s="16">
        <f t="shared" ca="1" si="48"/>
        <v>-5.2048552822870899</v>
      </c>
      <c r="L41" s="16">
        <f t="shared" ca="1" si="48"/>
        <v>-5.6295237789909516</v>
      </c>
      <c r="M41" s="16">
        <f t="shared" ca="1" si="48"/>
        <v>-6.0980068929389928</v>
      </c>
      <c r="N41" s="16">
        <f t="shared" ca="1" si="48"/>
        <v>-6.6152826710371846</v>
      </c>
      <c r="O41" s="16">
        <f t="shared" ca="1" si="48"/>
        <v>-7.1868300926689699</v>
      </c>
      <c r="P41" s="7"/>
      <c r="S41" t="str">
        <f t="shared" si="47"/>
        <v>MOIC</v>
      </c>
      <c r="T41" s="22">
        <f t="shared" ca="1" si="47"/>
        <v>2.4951617658785632</v>
      </c>
      <c r="U41" s="22">
        <v>2.4951617658785339</v>
      </c>
      <c r="V41" s="22">
        <v>2.9776539285944299</v>
      </c>
      <c r="W41" s="22">
        <v>1.7909789922211272</v>
      </c>
      <c r="X41" s="22">
        <v>1.6870883402689982</v>
      </c>
      <c r="Y41" s="22">
        <v>2.6037536418686487</v>
      </c>
      <c r="Z41" s="22">
        <v>2.4702169945962797</v>
      </c>
      <c r="AA41" s="22">
        <v>2.6995288876827566</v>
      </c>
      <c r="AB41" s="22">
        <v>2.4862532286523078</v>
      </c>
      <c r="AC41" s="22">
        <v>2.6191312325596936</v>
      </c>
      <c r="AD41" s="22">
        <v>2.3912711061701337</v>
      </c>
      <c r="AE41" s="22">
        <v>2.4486475157232266</v>
      </c>
      <c r="AF41" s="22">
        <v>2.4212909325918552</v>
      </c>
      <c r="AG41" s="22">
        <v>2.4889911497812904</v>
      </c>
      <c r="AH41" s="22">
        <v>2.2574195235403951</v>
      </c>
      <c r="AI41" s="22">
        <v>2.4951617658880538</v>
      </c>
      <c r="AJ41" s="22">
        <v>2.4835783903564819</v>
      </c>
      <c r="AK41" s="22">
        <v>2.4951617761203213</v>
      </c>
      <c r="AL41" s="22">
        <v>2.6489859829296867</v>
      </c>
    </row>
    <row r="42" spans="2:38" x14ac:dyDescent="0.35">
      <c r="B42" s="20" t="s">
        <v>29</v>
      </c>
      <c r="C42" s="20"/>
      <c r="D42" s="20"/>
      <c r="E42" s="26"/>
      <c r="F42" s="26">
        <f ca="1">SUM(F37:F41)</f>
        <v>82.535536834465248</v>
      </c>
      <c r="G42" s="26">
        <f t="shared" ref="G42:O42" ca="1" si="49">SUM(G37:G41)</f>
        <v>102.17953829028053</v>
      </c>
      <c r="H42" s="26">
        <f t="shared" ca="1" si="49"/>
        <v>121.27958548866326</v>
      </c>
      <c r="I42" s="26">
        <f t="shared" ca="1" si="49"/>
        <v>142.72663580439647</v>
      </c>
      <c r="J42" s="26">
        <f t="shared" ca="1" si="49"/>
        <v>166.78840806266757</v>
      </c>
      <c r="K42" s="26">
        <f t="shared" ca="1" si="49"/>
        <v>191.27019278844119</v>
      </c>
      <c r="L42" s="26">
        <f t="shared" ca="1" si="49"/>
        <v>211.47938317182445</v>
      </c>
      <c r="M42" s="26">
        <f t="shared" ca="1" si="49"/>
        <v>229.14651989072385</v>
      </c>
      <c r="N42" s="26">
        <f t="shared" ca="1" si="49"/>
        <v>248.44311066161376</v>
      </c>
      <c r="O42" s="26">
        <f t="shared" ca="1" si="49"/>
        <v>269.54781597281976</v>
      </c>
      <c r="P42" s="7"/>
      <c r="Q42" s="7"/>
      <c r="S42" t="str">
        <f t="shared" si="47"/>
        <v>Min Fixed Charge Ratio</v>
      </c>
      <c r="T42" s="22">
        <f t="shared" ca="1" si="47"/>
        <v>1.9260375007529029</v>
      </c>
      <c r="U42" s="22">
        <v>1.9260375007529029</v>
      </c>
      <c r="V42" s="22">
        <v>1.9570097122810715</v>
      </c>
      <c r="W42" s="22">
        <v>1.895115989102103</v>
      </c>
      <c r="X42" s="22">
        <v>1.356090604694999</v>
      </c>
      <c r="Y42" s="22">
        <v>1.9397966614459499</v>
      </c>
      <c r="Z42" s="22">
        <v>1.9260375007529029</v>
      </c>
      <c r="AA42" s="22">
        <v>1.9432380177117876</v>
      </c>
      <c r="AB42" s="22">
        <v>1.9260375007529029</v>
      </c>
      <c r="AC42" s="22">
        <v>1.9450499052803574</v>
      </c>
      <c r="AD42" s="22">
        <v>1.3858593088949367</v>
      </c>
      <c r="AE42" s="22">
        <v>1.8501347914368982</v>
      </c>
      <c r="AF42" s="22">
        <v>1.7750543302050197</v>
      </c>
      <c r="AG42" s="22">
        <v>1.9251050411461312</v>
      </c>
      <c r="AH42" s="22">
        <v>1.9260375007529029</v>
      </c>
      <c r="AI42" s="22">
        <v>1.9260375007529029</v>
      </c>
      <c r="AJ42" s="22">
        <v>1.8494405407002603</v>
      </c>
      <c r="AK42" s="22">
        <v>1.7584784703185476</v>
      </c>
      <c r="AL42" s="22">
        <v>1.9260375007529029</v>
      </c>
    </row>
    <row r="43" spans="2:38" x14ac:dyDescent="0.35">
      <c r="B43" t="s">
        <v>30</v>
      </c>
      <c r="E43" s="16"/>
      <c r="F43" s="16">
        <f ca="1">F55</f>
        <v>-14.700000000000003</v>
      </c>
      <c r="G43" s="16">
        <f t="shared" ref="G43:O43" ca="1" si="50">G55</f>
        <v>-13.049289263310698</v>
      </c>
      <c r="H43" s="16">
        <f t="shared" ca="1" si="50"/>
        <v>-11.005698497505087</v>
      </c>
      <c r="I43" s="16">
        <f t="shared" ca="1" si="50"/>
        <v>-8.58010678773182</v>
      </c>
      <c r="J43" s="16">
        <f t="shared" ca="1" si="50"/>
        <v>-5.7255740716438916</v>
      </c>
      <c r="K43" s="16">
        <f t="shared" ca="1" si="50"/>
        <v>-2.3898059103905704</v>
      </c>
      <c r="L43" s="16">
        <f t="shared" ca="1" si="50"/>
        <v>0</v>
      </c>
      <c r="M43" s="16">
        <f t="shared" ca="1" si="50"/>
        <v>0</v>
      </c>
      <c r="N43" s="16">
        <f t="shared" ca="1" si="50"/>
        <v>0</v>
      </c>
      <c r="O43" s="16">
        <f t="shared" ca="1" si="50"/>
        <v>0</v>
      </c>
      <c r="P43" s="7"/>
      <c r="Y43" s="7">
        <f>ABS(Y40-$U$40)</f>
        <v>1.0273451302959868E-2</v>
      </c>
      <c r="Z43" s="7">
        <f t="shared" ref="Z43:AL43" si="51">ABS(Z40-$U$40)</f>
        <v>2.4103174408638406E-3</v>
      </c>
      <c r="AA43" s="7">
        <f t="shared" si="51"/>
        <v>1.9053672462981286E-2</v>
      </c>
      <c r="AB43" s="7">
        <f t="shared" si="51"/>
        <v>8.5857560729807325E-4</v>
      </c>
      <c r="AC43" s="7">
        <f t="shared" si="51"/>
        <v>1.170042126209192E-2</v>
      </c>
      <c r="AD43" s="7">
        <f t="shared" si="51"/>
        <v>1.0169136363074704E-2</v>
      </c>
      <c r="AE43" s="7">
        <f t="shared" si="51"/>
        <v>4.5102423291674132E-3</v>
      </c>
      <c r="AF43" s="7">
        <f t="shared" si="51"/>
        <v>7.1949707241580896E-3</v>
      </c>
      <c r="AG43" s="7">
        <f t="shared" si="51"/>
        <v>5.9444214576909182E-4</v>
      </c>
      <c r="AH43" s="7">
        <f t="shared" si="51"/>
        <v>2.380552687687798E-2</v>
      </c>
      <c r="AI43" s="7">
        <f t="shared" si="51"/>
        <v>9.1637808452560421E-13</v>
      </c>
      <c r="AJ43" s="7">
        <f t="shared" si="51"/>
        <v>1.1168481361600868E-3</v>
      </c>
      <c r="AK43" s="7">
        <f t="shared" si="51"/>
        <v>9.8565933193128785E-10</v>
      </c>
      <c r="AL43" s="7">
        <f t="shared" si="51"/>
        <v>1.4451775061191663E-2</v>
      </c>
    </row>
    <row r="44" spans="2:38" x14ac:dyDescent="0.35">
      <c r="B44" t="s">
        <v>31</v>
      </c>
      <c r="E44" s="16"/>
      <c r="F44" s="16">
        <f ca="1">F56</f>
        <v>-67.835536834465245</v>
      </c>
      <c r="G44" s="16">
        <f t="shared" ref="G44:O44" ca="1" si="52">G56</f>
        <v>-89.130249026969835</v>
      </c>
      <c r="H44" s="16">
        <f t="shared" ca="1" si="52"/>
        <v>-110.27388699115818</v>
      </c>
      <c r="I44" s="16">
        <f t="shared" ca="1" si="52"/>
        <v>-134.14652901666466</v>
      </c>
      <c r="J44" s="16">
        <f t="shared" ca="1" si="52"/>
        <v>-161.06283399102361</v>
      </c>
      <c r="K44" s="16">
        <f t="shared" ca="1" si="52"/>
        <v>-117.10048960913797</v>
      </c>
      <c r="L44" s="16">
        <f t="shared" ca="1" si="52"/>
        <v>0</v>
      </c>
      <c r="M44" s="16">
        <f t="shared" ca="1" si="52"/>
        <v>0</v>
      </c>
      <c r="N44" s="16">
        <f t="shared" ca="1" si="52"/>
        <v>0</v>
      </c>
      <c r="O44" s="16">
        <f t="shared" ca="1" si="52"/>
        <v>0</v>
      </c>
      <c r="P44" s="7"/>
    </row>
    <row r="45" spans="2:38" x14ac:dyDescent="0.35">
      <c r="B45" s="34" t="s">
        <v>77</v>
      </c>
      <c r="C45" s="34"/>
      <c r="D45" s="34"/>
      <c r="E45" s="37"/>
      <c r="F45" s="37">
        <f ca="1">SUM(F42:F44)</f>
        <v>0</v>
      </c>
      <c r="G45" s="37">
        <f t="shared" ref="G45:O45" ca="1" si="53">SUM(G42:G44)</f>
        <v>0</v>
      </c>
      <c r="H45" s="37">
        <f t="shared" ca="1" si="53"/>
        <v>0</v>
      </c>
      <c r="I45" s="37">
        <f t="shared" ca="1" si="53"/>
        <v>0</v>
      </c>
      <c r="J45" s="37">
        <f t="shared" ca="1" si="53"/>
        <v>0</v>
      </c>
      <c r="K45" s="37">
        <f t="shared" ca="1" si="53"/>
        <v>71.779897268912649</v>
      </c>
      <c r="L45" s="37">
        <f t="shared" ca="1" si="53"/>
        <v>211.47938317182445</v>
      </c>
      <c r="M45" s="37">
        <f t="shared" ca="1" si="53"/>
        <v>229.14651989072385</v>
      </c>
      <c r="N45" s="37">
        <f t="shared" ca="1" si="53"/>
        <v>248.44311066161376</v>
      </c>
      <c r="O45" s="37">
        <f t="shared" ca="1" si="53"/>
        <v>269.54781597281976</v>
      </c>
      <c r="P45" s="7"/>
    </row>
    <row r="46" spans="2:38" ht="16" x14ac:dyDescent="0.5">
      <c r="P46" s="7"/>
      <c r="S46" s="51" t="s">
        <v>93</v>
      </c>
      <c r="T46" s="51" t="s">
        <v>40</v>
      </c>
      <c r="U46" s="51" t="s">
        <v>38</v>
      </c>
      <c r="V46" s="88" t="s">
        <v>94</v>
      </c>
      <c r="W46" s="88"/>
    </row>
    <row r="47" spans="2:38" x14ac:dyDescent="0.35">
      <c r="B47" s="20" t="s">
        <v>76</v>
      </c>
      <c r="C47" s="20"/>
      <c r="D47" s="20"/>
      <c r="E47" s="20"/>
      <c r="F47" s="83">
        <f t="shared" ref="F47:O47" ca="1" si="54">F45+E45</f>
        <v>0</v>
      </c>
      <c r="G47" s="83">
        <f t="shared" ca="1" si="54"/>
        <v>0</v>
      </c>
      <c r="H47" s="83">
        <f t="shared" ca="1" si="54"/>
        <v>0</v>
      </c>
      <c r="I47" s="83">
        <f t="shared" ca="1" si="54"/>
        <v>0</v>
      </c>
      <c r="J47" s="83">
        <f t="shared" ca="1" si="54"/>
        <v>0</v>
      </c>
      <c r="K47" s="83">
        <f t="shared" ca="1" si="54"/>
        <v>71.779897268912649</v>
      </c>
      <c r="L47" s="83">
        <f t="shared" ca="1" si="54"/>
        <v>283.25928044073709</v>
      </c>
      <c r="M47" s="83">
        <f t="shared" ca="1" si="54"/>
        <v>440.62590306254833</v>
      </c>
      <c r="N47" s="83">
        <f t="shared" ca="1" si="54"/>
        <v>477.58963055233761</v>
      </c>
      <c r="O47" s="83">
        <f t="shared" ca="1" si="54"/>
        <v>517.99092663443355</v>
      </c>
      <c r="P47" s="7"/>
      <c r="S47" t="str">
        <f>S21</f>
        <v>Traditional Growth</v>
      </c>
      <c r="T47" s="12">
        <f>U21</f>
        <v>0.05</v>
      </c>
      <c r="U47" s="12">
        <v>0.01</v>
      </c>
      <c r="V47" s="7" cm="1">
        <f t="array" ref="V47:V60">TRANSPOSE(Y43:AL43)</f>
        <v>1.0273451302959868E-2</v>
      </c>
      <c r="W47" s="52" t="str">
        <f>REPT("|",V47*1250)</f>
        <v>||||||||||||</v>
      </c>
    </row>
    <row r="48" spans="2:38" x14ac:dyDescent="0.35">
      <c r="P48" s="7"/>
      <c r="S48" t="str">
        <f t="shared" ref="S48:S60" si="55">S22</f>
        <v>Step</v>
      </c>
      <c r="T48" s="13">
        <f t="shared" ref="T48:U60" si="56">U22</f>
        <v>-1.25E-3</v>
      </c>
      <c r="U48" s="13">
        <v>1.25E-3</v>
      </c>
      <c r="V48" s="7">
        <v>2.4103174408638406E-3</v>
      </c>
      <c r="W48" s="52" t="str">
        <f t="shared" ref="W48:W60" si="57">REPT("|",V48*1250)</f>
        <v>|||</v>
      </c>
    </row>
    <row r="49" spans="1:23" x14ac:dyDescent="0.35">
      <c r="A49" t="s">
        <v>0</v>
      </c>
      <c r="B49" s="2" t="s">
        <v>33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7"/>
      <c r="S49" t="str">
        <f t="shared" si="55"/>
        <v>Digital Growth</v>
      </c>
      <c r="T49" s="12">
        <f t="shared" si="56"/>
        <v>0.15</v>
      </c>
      <c r="U49" s="12">
        <v>0.03</v>
      </c>
      <c r="V49" s="7">
        <v>1.9053672462981286E-2</v>
      </c>
      <c r="W49" s="52" t="str">
        <f t="shared" si="57"/>
        <v>|||||||||||||||||||||||</v>
      </c>
    </row>
    <row r="50" spans="1:23" x14ac:dyDescent="0.35">
      <c r="P50" s="7"/>
      <c r="S50" t="str">
        <f t="shared" si="55"/>
        <v>Step</v>
      </c>
      <c r="T50" s="13">
        <f t="shared" si="56"/>
        <v>-1.25E-3</v>
      </c>
      <c r="U50" s="13">
        <f t="shared" si="56"/>
        <v>-1.25E-3</v>
      </c>
      <c r="V50" s="7">
        <v>8.5857560729807325E-4</v>
      </c>
      <c r="W50" s="52" t="str">
        <f t="shared" si="57"/>
        <v>|</v>
      </c>
    </row>
    <row r="51" spans="1:23" ht="16" x14ac:dyDescent="0.5">
      <c r="B51" s="9" t="s">
        <v>20</v>
      </c>
      <c r="C51" s="9"/>
      <c r="D51" s="9"/>
      <c r="E51" s="10">
        <v>44561</v>
      </c>
      <c r="F51" s="10">
        <f>E51+365</f>
        <v>44926</v>
      </c>
      <c r="G51" s="10">
        <f t="shared" ref="G51:O51" si="58">F51+365</f>
        <v>45291</v>
      </c>
      <c r="H51" s="10">
        <f t="shared" si="58"/>
        <v>45656</v>
      </c>
      <c r="I51" s="10">
        <f t="shared" si="58"/>
        <v>46021</v>
      </c>
      <c r="J51" s="10">
        <f t="shared" si="58"/>
        <v>46386</v>
      </c>
      <c r="K51" s="10">
        <f t="shared" si="58"/>
        <v>46751</v>
      </c>
      <c r="L51" s="10">
        <f t="shared" si="58"/>
        <v>47116</v>
      </c>
      <c r="M51" s="10">
        <f t="shared" si="58"/>
        <v>47481</v>
      </c>
      <c r="N51" s="10">
        <f t="shared" si="58"/>
        <v>47846</v>
      </c>
      <c r="O51" s="10">
        <f t="shared" si="58"/>
        <v>48211</v>
      </c>
      <c r="P51" s="7"/>
      <c r="S51" t="str">
        <f t="shared" si="55"/>
        <v>EBITDA Margin Step</v>
      </c>
      <c r="T51" s="13">
        <f t="shared" si="56"/>
        <v>1.25E-3</v>
      </c>
      <c r="U51" s="13">
        <v>1.25E-3</v>
      </c>
      <c r="V51" s="7">
        <v>1.170042126209192E-2</v>
      </c>
      <c r="W51" s="52" t="str">
        <f t="shared" si="57"/>
        <v>||||||||||||||</v>
      </c>
    </row>
    <row r="52" spans="1:23" x14ac:dyDescent="0.35">
      <c r="P52" s="7"/>
      <c r="S52" t="str">
        <f t="shared" si="55"/>
        <v>Stress Test</v>
      </c>
      <c r="T52">
        <f t="shared" si="56"/>
        <v>0</v>
      </c>
      <c r="U52" s="16">
        <v>50</v>
      </c>
      <c r="V52" s="7">
        <v>1.0169136363074704E-2</v>
      </c>
      <c r="W52" s="52" t="str">
        <f t="shared" si="57"/>
        <v>||||||||||||</v>
      </c>
    </row>
    <row r="53" spans="1:23" x14ac:dyDescent="0.35">
      <c r="B53" s="17" t="s">
        <v>62</v>
      </c>
      <c r="C53" s="17"/>
      <c r="D53" s="17"/>
      <c r="P53" s="7"/>
      <c r="S53" t="str">
        <f t="shared" si="55"/>
        <v>Taxes</v>
      </c>
      <c r="T53" s="12">
        <f t="shared" si="56"/>
        <v>0.21</v>
      </c>
      <c r="U53" s="12">
        <v>0.05</v>
      </c>
      <c r="V53" s="7">
        <v>4.5102423291674132E-3</v>
      </c>
      <c r="W53" s="52" t="str">
        <f t="shared" si="57"/>
        <v>|||||</v>
      </c>
    </row>
    <row r="54" spans="1:23" x14ac:dyDescent="0.35">
      <c r="B54" s="18" t="s">
        <v>63</v>
      </c>
      <c r="C54" s="18"/>
      <c r="D54" s="18"/>
      <c r="E54" s="18"/>
      <c r="F54" s="19">
        <f ca="1">$H$5</f>
        <v>735.00000000000011</v>
      </c>
      <c r="G54" s="19">
        <f ca="1">F57</f>
        <v>652.46446316553488</v>
      </c>
      <c r="H54" s="19">
        <f t="shared" ref="H54:O54" ca="1" si="59">G57</f>
        <v>550.28492487525432</v>
      </c>
      <c r="I54" s="19">
        <f t="shared" ca="1" si="59"/>
        <v>429.005339386591</v>
      </c>
      <c r="J54" s="19">
        <f t="shared" ca="1" si="59"/>
        <v>286.27870358219451</v>
      </c>
      <c r="K54" s="19">
        <f t="shared" ca="1" si="59"/>
        <v>119.49029551952705</v>
      </c>
      <c r="L54" s="19">
        <f t="shared" ca="1" si="59"/>
        <v>0</v>
      </c>
      <c r="M54" s="19">
        <f t="shared" ca="1" si="59"/>
        <v>0</v>
      </c>
      <c r="N54" s="19">
        <f t="shared" ca="1" si="59"/>
        <v>0</v>
      </c>
      <c r="O54" s="19">
        <f t="shared" ca="1" si="59"/>
        <v>0</v>
      </c>
      <c r="P54" s="7"/>
      <c r="S54" t="str">
        <f t="shared" si="55"/>
        <v>Capex</v>
      </c>
      <c r="T54" s="12">
        <f t="shared" si="56"/>
        <v>0.04</v>
      </c>
      <c r="U54" s="12">
        <v>0.01</v>
      </c>
      <c r="V54" s="7">
        <v>7.1949707241580896E-3</v>
      </c>
      <c r="W54" s="52" t="str">
        <f t="shared" si="57"/>
        <v>||||||||</v>
      </c>
    </row>
    <row r="55" spans="1:23" x14ac:dyDescent="0.35">
      <c r="B55" t="s">
        <v>30</v>
      </c>
      <c r="F55" s="16">
        <f t="shared" ref="F55:O55" ca="1" si="60">F54*-$T$33</f>
        <v>-14.700000000000003</v>
      </c>
      <c r="G55" s="16">
        <f t="shared" ca="1" si="60"/>
        <v>-13.049289263310698</v>
      </c>
      <c r="H55" s="16">
        <f t="shared" ca="1" si="60"/>
        <v>-11.005698497505087</v>
      </c>
      <c r="I55" s="16">
        <f t="shared" ca="1" si="60"/>
        <v>-8.58010678773182</v>
      </c>
      <c r="J55" s="16">
        <f t="shared" ca="1" si="60"/>
        <v>-5.7255740716438899</v>
      </c>
      <c r="K55" s="16">
        <f t="shared" ca="1" si="60"/>
        <v>-2.3898059103905411</v>
      </c>
      <c r="L55" s="16">
        <f t="shared" ca="1" si="60"/>
        <v>0</v>
      </c>
      <c r="M55" s="16">
        <f t="shared" ca="1" si="60"/>
        <v>0</v>
      </c>
      <c r="N55" s="16">
        <f t="shared" ca="1" si="60"/>
        <v>0</v>
      </c>
      <c r="O55" s="16">
        <f t="shared" ca="1" si="60"/>
        <v>0</v>
      </c>
      <c r="P55" s="7"/>
      <c r="S55" t="str">
        <f t="shared" si="55"/>
        <v>NWC</v>
      </c>
      <c r="T55" s="12">
        <f t="shared" si="56"/>
        <v>0.04</v>
      </c>
      <c r="U55" s="12">
        <v>0.01</v>
      </c>
      <c r="V55" s="7">
        <v>5.9444214576909182E-4</v>
      </c>
      <c r="W55" s="52" t="str">
        <f t="shared" si="57"/>
        <v/>
      </c>
    </row>
    <row r="56" spans="1:23" x14ac:dyDescent="0.35">
      <c r="B56" t="s">
        <v>31</v>
      </c>
      <c r="F56" s="16">
        <f t="shared" ref="F56:O56" ca="1" si="61">-MIN(SUM(F54:F55),SUM(F42:F43))</f>
        <v>-67.835536834465245</v>
      </c>
      <c r="G56" s="16">
        <f t="shared" ca="1" si="61"/>
        <v>-89.130249026969835</v>
      </c>
      <c r="H56" s="16">
        <f t="shared" ca="1" si="61"/>
        <v>-110.27388699115818</v>
      </c>
      <c r="I56" s="16">
        <f t="shared" ca="1" si="61"/>
        <v>-134.14652901666466</v>
      </c>
      <c r="J56" s="16">
        <f t="shared" ca="1" si="61"/>
        <v>-161.06283399102367</v>
      </c>
      <c r="K56" s="16">
        <f t="shared" ca="1" si="61"/>
        <v>-117.10048960913652</v>
      </c>
      <c r="L56" s="16">
        <f t="shared" ca="1" si="61"/>
        <v>0</v>
      </c>
      <c r="M56" s="16">
        <f t="shared" ca="1" si="61"/>
        <v>0</v>
      </c>
      <c r="N56" s="16">
        <f t="shared" ca="1" si="61"/>
        <v>0</v>
      </c>
      <c r="O56" s="16">
        <f t="shared" ca="1" si="61"/>
        <v>0</v>
      </c>
      <c r="P56" s="7"/>
      <c r="S56" t="str">
        <f t="shared" si="55"/>
        <v>Entry Multiple</v>
      </c>
      <c r="T56" s="22">
        <f t="shared" si="56"/>
        <v>8</v>
      </c>
      <c r="U56" s="22">
        <v>0.5</v>
      </c>
      <c r="V56" s="7">
        <v>2.380552687687798E-2</v>
      </c>
      <c r="W56" s="52" t="str">
        <f t="shared" si="57"/>
        <v>|||||||||||||||||||||||||||||</v>
      </c>
    </row>
    <row r="57" spans="1:23" x14ac:dyDescent="0.35">
      <c r="B57" s="34" t="s">
        <v>32</v>
      </c>
      <c r="C57" s="34"/>
      <c r="D57" s="34"/>
      <c r="E57" s="34"/>
      <c r="F57" s="37">
        <f ca="1">SUM(F54:F56)</f>
        <v>652.46446316553488</v>
      </c>
      <c r="G57" s="37">
        <f ca="1">SUM(G54:G56)</f>
        <v>550.28492487525432</v>
      </c>
      <c r="H57" s="37">
        <f t="shared" ref="H57:O57" ca="1" si="62">SUM(H54:H56)</f>
        <v>429.005339386591</v>
      </c>
      <c r="I57" s="37">
        <f t="shared" ca="1" si="62"/>
        <v>286.27870358219451</v>
      </c>
      <c r="J57" s="37">
        <f t="shared" ca="1" si="62"/>
        <v>119.49029551952694</v>
      </c>
      <c r="K57" s="37">
        <f t="shared" ca="1" si="62"/>
        <v>0</v>
      </c>
      <c r="L57" s="37">
        <f t="shared" ca="1" si="62"/>
        <v>0</v>
      </c>
      <c r="M57" s="37">
        <f t="shared" ca="1" si="62"/>
        <v>0</v>
      </c>
      <c r="N57" s="37">
        <f t="shared" ca="1" si="62"/>
        <v>0</v>
      </c>
      <c r="O57" s="37">
        <f t="shared" ca="1" si="62"/>
        <v>0</v>
      </c>
      <c r="P57" s="7"/>
      <c r="S57" t="str">
        <f t="shared" si="55"/>
        <v>Debt/EBITDA</v>
      </c>
      <c r="T57" s="22">
        <f t="shared" si="56"/>
        <v>3.5</v>
      </c>
      <c r="U57" s="22">
        <v>0.5</v>
      </c>
      <c r="V57" s="7">
        <v>9.1637808452560421E-13</v>
      </c>
      <c r="W57" s="52" t="str">
        <f t="shared" si="57"/>
        <v/>
      </c>
    </row>
    <row r="58" spans="1:23" x14ac:dyDescent="0.35">
      <c r="P58" s="7"/>
      <c r="S58" t="str">
        <f t="shared" si="55"/>
        <v>SOFR +</v>
      </c>
      <c r="T58" s="16">
        <f t="shared" si="56"/>
        <v>550</v>
      </c>
      <c r="U58" s="16">
        <v>50</v>
      </c>
      <c r="V58" s="7">
        <v>1.1168481361600868E-3</v>
      </c>
      <c r="W58" s="52" t="str">
        <f t="shared" si="57"/>
        <v>|</v>
      </c>
    </row>
    <row r="59" spans="1:23" ht="15" thickBot="1" x14ac:dyDescent="0.4">
      <c r="B59" s="8" t="s">
        <v>73</v>
      </c>
      <c r="C59" s="8"/>
      <c r="D59" s="8"/>
      <c r="E59" s="8"/>
      <c r="F59" s="39">
        <f ca="1">AVERAGE(F57,F54)</f>
        <v>693.73223158276755</v>
      </c>
      <c r="G59" s="39">
        <f ca="1">AVERAGE(G57,G54)</f>
        <v>601.3746940203946</v>
      </c>
      <c r="H59" s="39">
        <f t="shared" ref="H59:O59" ca="1" si="63">AVERAGE(H57,H54)</f>
        <v>489.64513213092266</v>
      </c>
      <c r="I59" s="39">
        <f t="shared" ca="1" si="63"/>
        <v>357.64202148439279</v>
      </c>
      <c r="J59" s="39">
        <f t="shared" ca="1" si="63"/>
        <v>202.88449955086071</v>
      </c>
      <c r="K59" s="39">
        <f t="shared" ca="1" si="63"/>
        <v>59.745147759763526</v>
      </c>
      <c r="L59" s="39">
        <f t="shared" ca="1" si="63"/>
        <v>0</v>
      </c>
      <c r="M59" s="39">
        <f t="shared" ca="1" si="63"/>
        <v>0</v>
      </c>
      <c r="N59" s="39">
        <f t="shared" ca="1" si="63"/>
        <v>0</v>
      </c>
      <c r="O59" s="39">
        <f t="shared" ca="1" si="63"/>
        <v>0</v>
      </c>
      <c r="P59" s="7"/>
      <c r="S59" t="str">
        <f t="shared" si="55"/>
        <v>Mandatory Debt Repayments</v>
      </c>
      <c r="T59" s="12">
        <f t="shared" si="56"/>
        <v>0.02</v>
      </c>
      <c r="U59" s="12">
        <v>0.01</v>
      </c>
      <c r="V59" s="7">
        <v>9.8565933193128785E-10</v>
      </c>
      <c r="W59" s="52" t="str">
        <f t="shared" si="57"/>
        <v/>
      </c>
    </row>
    <row r="60" spans="1:23" x14ac:dyDescent="0.35">
      <c r="B60" t="s">
        <v>74</v>
      </c>
      <c r="F60" s="38">
        <v>3.5000000000000003E-2</v>
      </c>
      <c r="G60" s="38">
        <v>0.03</v>
      </c>
      <c r="H60" s="38">
        <v>0.03</v>
      </c>
      <c r="I60" s="38">
        <v>0.03</v>
      </c>
      <c r="J60" s="38">
        <v>0.03</v>
      </c>
      <c r="K60" s="38">
        <v>0.03</v>
      </c>
      <c r="L60" s="38">
        <v>0.03</v>
      </c>
      <c r="M60" s="38">
        <v>0.03</v>
      </c>
      <c r="N60" s="38">
        <v>0.03</v>
      </c>
      <c r="O60" s="38">
        <v>0.03</v>
      </c>
      <c r="P60" s="7"/>
      <c r="S60" t="str">
        <f t="shared" si="55"/>
        <v>Exit Multiple</v>
      </c>
      <c r="T60" s="22">
        <f t="shared" si="56"/>
        <v>8.5</v>
      </c>
      <c r="U60" s="22">
        <v>0.5</v>
      </c>
      <c r="V60" s="7">
        <v>1.4451775061191663E-2</v>
      </c>
      <c r="W60" s="52" t="str">
        <f t="shared" si="57"/>
        <v>||||||||||||||||||</v>
      </c>
    </row>
    <row r="61" spans="1:23" x14ac:dyDescent="0.35">
      <c r="B61" t="s">
        <v>75</v>
      </c>
      <c r="F61" s="14">
        <f t="shared" ref="F61:O61" ca="1" si="64">F60+$T$32/10000</f>
        <v>0.09</v>
      </c>
      <c r="G61" s="14">
        <f t="shared" ca="1" si="64"/>
        <v>8.4999999999999992E-2</v>
      </c>
      <c r="H61" s="14">
        <f t="shared" ca="1" si="64"/>
        <v>8.4999999999999992E-2</v>
      </c>
      <c r="I61" s="14">
        <f t="shared" ca="1" si="64"/>
        <v>8.4999999999999992E-2</v>
      </c>
      <c r="J61" s="14">
        <f t="shared" ca="1" si="64"/>
        <v>8.4999999999999992E-2</v>
      </c>
      <c r="K61" s="14">
        <f t="shared" ca="1" si="64"/>
        <v>8.4999999999999992E-2</v>
      </c>
      <c r="L61" s="14">
        <f t="shared" ca="1" si="64"/>
        <v>8.4999999999999992E-2</v>
      </c>
      <c r="M61" s="14">
        <f t="shared" ca="1" si="64"/>
        <v>8.4999999999999992E-2</v>
      </c>
      <c r="N61" s="14">
        <f t="shared" ca="1" si="64"/>
        <v>8.4999999999999992E-2</v>
      </c>
      <c r="O61" s="14">
        <f t="shared" ca="1" si="64"/>
        <v>8.4999999999999992E-2</v>
      </c>
      <c r="P61" s="7"/>
    </row>
    <row r="62" spans="1:23" x14ac:dyDescent="0.35">
      <c r="B62" s="4" t="s">
        <v>3</v>
      </c>
      <c r="C62" s="4"/>
      <c r="D62" s="4"/>
      <c r="E62" s="4"/>
      <c r="F62" s="28">
        <f t="shared" ref="F62:O62" ca="1" si="65">F61*F59</f>
        <v>62.43590084244908</v>
      </c>
      <c r="G62" s="28">
        <f t="shared" ca="1" si="65"/>
        <v>51.116848991733534</v>
      </c>
      <c r="H62" s="28">
        <f t="shared" ca="1" si="65"/>
        <v>41.619836231128424</v>
      </c>
      <c r="I62" s="28">
        <f t="shared" ca="1" si="65"/>
        <v>30.399571826173386</v>
      </c>
      <c r="J62" s="28">
        <f t="shared" ca="1" si="65"/>
        <v>17.245182461823159</v>
      </c>
      <c r="K62" s="28">
        <f t="shared" ca="1" si="65"/>
        <v>5.0783375595798992</v>
      </c>
      <c r="L62" s="28">
        <f t="shared" ca="1" si="65"/>
        <v>0</v>
      </c>
      <c r="M62" s="28">
        <f t="shared" ca="1" si="65"/>
        <v>0</v>
      </c>
      <c r="N62" s="28">
        <f t="shared" ca="1" si="65"/>
        <v>0</v>
      </c>
      <c r="O62" s="28">
        <f t="shared" ca="1" si="65"/>
        <v>0</v>
      </c>
      <c r="P62" s="7"/>
    </row>
    <row r="63" spans="1:23" x14ac:dyDescent="0.35">
      <c r="P63" s="7"/>
    </row>
    <row r="64" spans="1:23" x14ac:dyDescent="0.35">
      <c r="P64" s="7"/>
    </row>
    <row r="65" spans="1:16" x14ac:dyDescent="0.35">
      <c r="B65" t="s">
        <v>20</v>
      </c>
      <c r="F65">
        <v>2022</v>
      </c>
      <c r="G65">
        <f>F65+1</f>
        <v>2023</v>
      </c>
      <c r="H65">
        <f t="shared" ref="H65:O65" si="66">G65+1</f>
        <v>2024</v>
      </c>
      <c r="I65">
        <f t="shared" si="66"/>
        <v>2025</v>
      </c>
      <c r="J65">
        <f t="shared" si="66"/>
        <v>2026</v>
      </c>
      <c r="K65">
        <f t="shared" si="66"/>
        <v>2027</v>
      </c>
      <c r="L65">
        <f t="shared" si="66"/>
        <v>2028</v>
      </c>
      <c r="M65">
        <f t="shared" si="66"/>
        <v>2029</v>
      </c>
      <c r="N65">
        <f t="shared" si="66"/>
        <v>2030</v>
      </c>
      <c r="O65">
        <f t="shared" si="66"/>
        <v>2031</v>
      </c>
      <c r="P65" s="7"/>
    </row>
    <row r="66" spans="1:16" x14ac:dyDescent="0.35">
      <c r="B66" t="s">
        <v>79</v>
      </c>
      <c r="F66" s="27">
        <f ca="1">F79</f>
        <v>226.41735000000006</v>
      </c>
      <c r="G66" s="27">
        <f t="shared" ref="G66:O66" ca="1" si="67">G79</f>
        <v>244.16009662500005</v>
      </c>
      <c r="H66" s="27">
        <f t="shared" ca="1" si="67"/>
        <v>263.35867217203128</v>
      </c>
      <c r="I66" s="27">
        <f t="shared" ca="1" si="67"/>
        <v>284.15921770259303</v>
      </c>
      <c r="J66" s="27">
        <f t="shared" ca="1" si="67"/>
        <v>306.72547954122655</v>
      </c>
      <c r="K66" s="27">
        <f t="shared" ca="1" si="67"/>
        <v>331.24089658167202</v>
      </c>
      <c r="L66" s="27">
        <f t="shared" ca="1" si="67"/>
        <v>357.91089151005406</v>
      </c>
      <c r="M66" s="27">
        <f t="shared" ca="1" si="67"/>
        <v>386.96537920406575</v>
      </c>
      <c r="N66" s="27">
        <f t="shared" ca="1" si="67"/>
        <v>418.66150560799929</v>
      </c>
      <c r="O66" s="27">
        <f t="shared" ca="1" si="67"/>
        <v>453.2866302991971</v>
      </c>
      <c r="P66" s="7"/>
    </row>
    <row r="67" spans="1:16" x14ac:dyDescent="0.35">
      <c r="B67" t="s">
        <v>87</v>
      </c>
      <c r="F67" s="27">
        <f ca="1">-F82</f>
        <v>652.46446316553488</v>
      </c>
      <c r="G67" s="27">
        <f t="shared" ref="G67:O67" ca="1" si="68">-G82</f>
        <v>550.28492487525432</v>
      </c>
      <c r="H67" s="27">
        <f t="shared" ca="1" si="68"/>
        <v>429.005339386591</v>
      </c>
      <c r="I67" s="27">
        <f t="shared" ca="1" si="68"/>
        <v>286.27870358219451</v>
      </c>
      <c r="J67" s="27">
        <f t="shared" ca="1" si="68"/>
        <v>119.49029551952569</v>
      </c>
      <c r="K67" s="27">
        <f t="shared" ca="1" si="68"/>
        <v>-71.779897268878472</v>
      </c>
      <c r="L67" s="27">
        <f t="shared" ca="1" si="68"/>
        <v>-283.25928044070156</v>
      </c>
      <c r="M67" s="27">
        <f t="shared" ca="1" si="68"/>
        <v>-440.62590306254833</v>
      </c>
      <c r="N67" s="27">
        <f t="shared" ca="1" si="68"/>
        <v>-477.58963055233761</v>
      </c>
      <c r="O67" s="27">
        <f t="shared" ca="1" si="68"/>
        <v>-517.99092663443355</v>
      </c>
      <c r="P67" s="7"/>
    </row>
    <row r="68" spans="1:16" x14ac:dyDescent="0.35">
      <c r="B68" t="s">
        <v>88</v>
      </c>
      <c r="F68" s="22">
        <f ca="1">F67/F66</f>
        <v>2.8816893368177605</v>
      </c>
      <c r="G68" s="22">
        <f t="shared" ref="G68:O68" ca="1" si="69">G67/G66</f>
        <v>2.2537872997340118</v>
      </c>
      <c r="H68" s="22">
        <f t="shared" ca="1" si="69"/>
        <v>1.6289774543910061</v>
      </c>
      <c r="I68" s="22">
        <f t="shared" ca="1" si="69"/>
        <v>1.0074587968559929</v>
      </c>
      <c r="J68" s="22">
        <f t="shared" ca="1" si="69"/>
        <v>0.38956755629903633</v>
      </c>
      <c r="K68" s="22">
        <f t="shared" ca="1" si="69"/>
        <v>-0.21669998484374994</v>
      </c>
      <c r="L68" s="22">
        <f t="shared" ca="1" si="69"/>
        <v>-0.79142403084077295</v>
      </c>
      <c r="M68" s="22">
        <f t="shared" ca="1" si="69"/>
        <v>-1.1386700897347841</v>
      </c>
      <c r="N68" s="22">
        <f t="shared" ca="1" si="69"/>
        <v>-1.1407536259125621</v>
      </c>
      <c r="O68" s="22">
        <f t="shared" ca="1" si="69"/>
        <v>-1.1427447712113803</v>
      </c>
      <c r="P68" s="22"/>
    </row>
    <row r="70" spans="1:16" x14ac:dyDescent="0.35">
      <c r="B70" t="s">
        <v>89</v>
      </c>
      <c r="F70" s="22">
        <f ca="1">F66/-F38</f>
        <v>3.6263967836604487</v>
      </c>
      <c r="G70" s="22">
        <f t="shared" ref="G70:O70" ca="1" si="70">G66/-G38</f>
        <v>4.7765091440688154</v>
      </c>
      <c r="H70" s="22">
        <f t="shared" ca="1" si="70"/>
        <v>6.3277200493897983</v>
      </c>
      <c r="I70" s="22">
        <f t="shared" ca="1" si="70"/>
        <v>9.3474743436332872</v>
      </c>
      <c r="J70" s="22">
        <f t="shared" ca="1" si="70"/>
        <v>17.78615449388521</v>
      </c>
      <c r="K70" s="22">
        <f t="shared" ca="1" si="70"/>
        <v>65.226246324805061</v>
      </c>
      <c r="L70" s="22" t="e">
        <f t="shared" ca="1" si="70"/>
        <v>#DIV/0!</v>
      </c>
      <c r="M70" s="22" t="e">
        <f t="shared" ca="1" si="70"/>
        <v>#DIV/0!</v>
      </c>
      <c r="N70" s="22" t="e">
        <f t="shared" ca="1" si="70"/>
        <v>#DIV/0!</v>
      </c>
      <c r="O70" s="22" t="e">
        <f t="shared" ca="1" si="70"/>
        <v>#DIV/0!</v>
      </c>
      <c r="P70" s="22"/>
    </row>
    <row r="71" spans="1:16" x14ac:dyDescent="0.35">
      <c r="B71" t="s">
        <v>90</v>
      </c>
      <c r="F71" s="22">
        <f ca="1">(F66+F39+F40)/-SUM(F43,F38)</f>
        <v>1.9260375007529029</v>
      </c>
      <c r="G71" s="22">
        <f t="shared" ref="G71:O71" ca="1" si="71">(G66+G39+G40)/-SUM(G43,G38)</f>
        <v>2.4492160126164313</v>
      </c>
      <c r="H71" s="22">
        <f t="shared" ca="1" si="71"/>
        <v>3.1743174946572053</v>
      </c>
      <c r="I71" s="22">
        <f t="shared" ca="1" si="71"/>
        <v>4.556106068844934</v>
      </c>
      <c r="J71" s="22">
        <f t="shared" ca="1" si="71"/>
        <v>8.2214566592826941</v>
      </c>
      <c r="K71" s="22">
        <f t="shared" ca="1" si="71"/>
        <v>26.988419068374366</v>
      </c>
      <c r="L71" s="22" t="e">
        <f t="shared" ca="1" si="71"/>
        <v>#DIV/0!</v>
      </c>
      <c r="M71" s="22" t="e">
        <f t="shared" ca="1" si="71"/>
        <v>#DIV/0!</v>
      </c>
      <c r="N71" s="22" t="e">
        <f t="shared" ca="1" si="71"/>
        <v>#DIV/0!</v>
      </c>
      <c r="O71" s="22" t="e">
        <f t="shared" ca="1" si="71"/>
        <v>#DIV/0!</v>
      </c>
      <c r="P71" s="22"/>
    </row>
    <row r="72" spans="1:16" x14ac:dyDescent="0.35">
      <c r="B72" t="s">
        <v>91</v>
      </c>
      <c r="F72" s="22">
        <f ca="1">(F66+F40)/-SUM(F43,F38)</f>
        <v>2.2228579445803502</v>
      </c>
      <c r="G72" s="22">
        <f t="shared" ref="G72:O72" ca="1" si="72">(G66+G40)/-SUM(G43,G38)</f>
        <v>2.8885102900894886</v>
      </c>
      <c r="H72" s="22">
        <f t="shared" ca="1" si="72"/>
        <v>3.8078927534012861</v>
      </c>
      <c r="I72" s="22">
        <f t="shared" ca="1" si="72"/>
        <v>5.5599123161167503</v>
      </c>
      <c r="J72" s="22">
        <f t="shared" ca="1" si="72"/>
        <v>10.207342015680005</v>
      </c>
      <c r="K72" s="22">
        <f t="shared" ca="1" si="72"/>
        <v>33.981796289081473</v>
      </c>
      <c r="L72" s="22" t="e">
        <f t="shared" ca="1" si="72"/>
        <v>#DIV/0!</v>
      </c>
      <c r="M72" s="22" t="e">
        <f t="shared" ca="1" si="72"/>
        <v>#DIV/0!</v>
      </c>
      <c r="N72" s="22" t="e">
        <f t="shared" ca="1" si="72"/>
        <v>#DIV/0!</v>
      </c>
      <c r="O72" s="22" t="e">
        <f t="shared" ca="1" si="72"/>
        <v>#DIV/0!</v>
      </c>
      <c r="P72" s="22"/>
    </row>
    <row r="75" spans="1:16" x14ac:dyDescent="0.35">
      <c r="A75" t="s">
        <v>0</v>
      </c>
      <c r="B75" s="2" t="s">
        <v>78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7" spans="1:16" ht="16" x14ac:dyDescent="0.5">
      <c r="B77" s="9" t="s">
        <v>20</v>
      </c>
      <c r="C77" s="9"/>
      <c r="D77" s="9"/>
      <c r="E77" s="10">
        <v>44561</v>
      </c>
      <c r="F77" s="10">
        <f>E77+365</f>
        <v>44926</v>
      </c>
      <c r="G77" s="10">
        <f t="shared" ref="G77:O77" si="73">F77+365</f>
        <v>45291</v>
      </c>
      <c r="H77" s="10">
        <f t="shared" si="73"/>
        <v>45656</v>
      </c>
      <c r="I77" s="10">
        <f t="shared" si="73"/>
        <v>46021</v>
      </c>
      <c r="J77" s="10">
        <f t="shared" si="73"/>
        <v>46386</v>
      </c>
      <c r="K77" s="10">
        <f t="shared" si="73"/>
        <v>46751</v>
      </c>
      <c r="L77" s="10">
        <f t="shared" si="73"/>
        <v>47116</v>
      </c>
      <c r="M77" s="10">
        <f t="shared" si="73"/>
        <v>47481</v>
      </c>
      <c r="N77" s="10">
        <f t="shared" si="73"/>
        <v>47846</v>
      </c>
      <c r="O77" s="10">
        <f t="shared" si="73"/>
        <v>48211</v>
      </c>
      <c r="P77" s="10"/>
    </row>
    <row r="79" spans="1:16" x14ac:dyDescent="0.35">
      <c r="B79" t="s">
        <v>79</v>
      </c>
      <c r="F79" s="16">
        <f ca="1">F37</f>
        <v>226.41735000000006</v>
      </c>
      <c r="G79" s="27">
        <f t="shared" ref="G79:O79" ca="1" si="74">G37</f>
        <v>244.16009662500005</v>
      </c>
      <c r="H79" s="27">
        <f t="shared" ca="1" si="74"/>
        <v>263.35867217203128</v>
      </c>
      <c r="I79" s="27">
        <f t="shared" ca="1" si="74"/>
        <v>284.15921770259303</v>
      </c>
      <c r="J79" s="27">
        <f t="shared" ca="1" si="74"/>
        <v>306.72547954122655</v>
      </c>
      <c r="K79" s="27">
        <f t="shared" ca="1" si="74"/>
        <v>331.24089658167202</v>
      </c>
      <c r="L79" s="27">
        <f t="shared" ca="1" si="74"/>
        <v>357.91089151005406</v>
      </c>
      <c r="M79" s="27">
        <f t="shared" ca="1" si="74"/>
        <v>386.96537920406575</v>
      </c>
      <c r="N79" s="27">
        <f t="shared" ca="1" si="74"/>
        <v>418.66150560799929</v>
      </c>
      <c r="O79" s="27">
        <f t="shared" ca="1" si="74"/>
        <v>453.2866302991971</v>
      </c>
      <c r="P79" s="27"/>
    </row>
    <row r="80" spans="1:16" x14ac:dyDescent="0.35">
      <c r="B80" t="s">
        <v>80</v>
      </c>
      <c r="F80" s="22">
        <f t="shared" ref="F80:H80" ca="1" si="75">G80-0.125</f>
        <v>8</v>
      </c>
      <c r="G80" s="22">
        <f t="shared" ca="1" si="75"/>
        <v>8.125</v>
      </c>
      <c r="H80" s="22">
        <f t="shared" ca="1" si="75"/>
        <v>8.25</v>
      </c>
      <c r="I80" s="22">
        <f ca="1">J80-0.125</f>
        <v>8.375</v>
      </c>
      <c r="J80" s="22">
        <f ca="1">$T$34</f>
        <v>8.5</v>
      </c>
      <c r="K80" s="22">
        <f ca="1">J80+0.125</f>
        <v>8.625</v>
      </c>
      <c r="L80" s="22">
        <f t="shared" ref="L80:O80" ca="1" si="76">K80+0.125</f>
        <v>8.75</v>
      </c>
      <c r="M80" s="22">
        <f t="shared" ca="1" si="76"/>
        <v>8.875</v>
      </c>
      <c r="N80" s="22">
        <f t="shared" ca="1" si="76"/>
        <v>9</v>
      </c>
      <c r="O80" s="22">
        <f t="shared" ca="1" si="76"/>
        <v>9.125</v>
      </c>
      <c r="P80" s="22"/>
    </row>
    <row r="81" spans="2:16" x14ac:dyDescent="0.35">
      <c r="B81" s="34" t="s">
        <v>81</v>
      </c>
      <c r="C81" s="34"/>
      <c r="D81" s="34"/>
      <c r="E81" s="34"/>
      <c r="F81" s="37">
        <f ca="1">F79*F80</f>
        <v>1811.3388000000004</v>
      </c>
      <c r="G81" s="37">
        <f t="shared" ref="G81:O81" ca="1" si="77">G79*G80</f>
        <v>1983.8007850781255</v>
      </c>
      <c r="H81" s="37">
        <f t="shared" ca="1" si="77"/>
        <v>2172.709045419258</v>
      </c>
      <c r="I81" s="37">
        <f t="shared" ca="1" si="77"/>
        <v>2379.8334482592168</v>
      </c>
      <c r="J81" s="37">
        <f t="shared" ca="1" si="77"/>
        <v>2607.1665761004256</v>
      </c>
      <c r="K81" s="37">
        <f t="shared" ca="1" si="77"/>
        <v>2856.9527330169212</v>
      </c>
      <c r="L81" s="37">
        <f t="shared" ca="1" si="77"/>
        <v>3131.7203007129729</v>
      </c>
      <c r="M81" s="37">
        <f t="shared" ca="1" si="77"/>
        <v>3434.3177404360836</v>
      </c>
      <c r="N81" s="37">
        <f t="shared" ca="1" si="77"/>
        <v>3767.9535504719934</v>
      </c>
      <c r="O81" s="37">
        <f t="shared" ca="1" si="77"/>
        <v>4136.2405014801734</v>
      </c>
      <c r="P81" s="73"/>
    </row>
    <row r="82" spans="2:16" x14ac:dyDescent="0.35">
      <c r="B82" t="s">
        <v>82</v>
      </c>
      <c r="F82" s="27">
        <f ca="1">-F57+F47</f>
        <v>-652.46446316553488</v>
      </c>
      <c r="G82" s="27">
        <f t="shared" ref="G82:O82" ca="1" si="78">-G57+G47</f>
        <v>-550.28492487525432</v>
      </c>
      <c r="H82" s="27">
        <f t="shared" ca="1" si="78"/>
        <v>-429.005339386591</v>
      </c>
      <c r="I82" s="27">
        <f t="shared" ca="1" si="78"/>
        <v>-286.27870358219451</v>
      </c>
      <c r="J82" s="27">
        <f t="shared" ca="1" si="78"/>
        <v>-119.49029551952694</v>
      </c>
      <c r="K82" s="27">
        <f t="shared" ca="1" si="78"/>
        <v>71.779897268912649</v>
      </c>
      <c r="L82" s="27">
        <f t="shared" ca="1" si="78"/>
        <v>283.25928044073709</v>
      </c>
      <c r="M82" s="27">
        <f t="shared" ca="1" si="78"/>
        <v>440.62590306254833</v>
      </c>
      <c r="N82" s="27">
        <f t="shared" ca="1" si="78"/>
        <v>477.58963055233761</v>
      </c>
      <c r="O82" s="27">
        <f t="shared" ca="1" si="78"/>
        <v>517.99092663443355</v>
      </c>
      <c r="P82" s="27"/>
    </row>
    <row r="83" spans="2:16" x14ac:dyDescent="0.35">
      <c r="B83" s="34" t="s">
        <v>83</v>
      </c>
      <c r="C83" s="34"/>
      <c r="D83" s="34"/>
      <c r="E83" s="34"/>
      <c r="F83" s="40">
        <f ca="1">SUM(F81:F82)</f>
        <v>1158.8743368344656</v>
      </c>
      <c r="G83" s="40">
        <f t="shared" ref="G83:O83" ca="1" si="79">SUM(G81:G82)</f>
        <v>1433.5158602028712</v>
      </c>
      <c r="H83" s="40">
        <f t="shared" ca="1" si="79"/>
        <v>1743.703706032667</v>
      </c>
      <c r="I83" s="40">
        <f t="shared" ca="1" si="79"/>
        <v>2093.5547446770224</v>
      </c>
      <c r="J83" s="40">
        <f t="shared" ca="1" si="79"/>
        <v>2487.6762805808985</v>
      </c>
      <c r="K83" s="40">
        <f t="shared" ca="1" si="79"/>
        <v>2928.7326302858337</v>
      </c>
      <c r="L83" s="40">
        <f t="shared" ca="1" si="79"/>
        <v>3414.9795811537101</v>
      </c>
      <c r="M83" s="40">
        <f t="shared" ca="1" si="79"/>
        <v>3874.9436434986319</v>
      </c>
      <c r="N83" s="40">
        <f t="shared" ca="1" si="79"/>
        <v>4245.5431810243308</v>
      </c>
      <c r="O83" s="40">
        <f t="shared" ca="1" si="79"/>
        <v>4654.2314281146073</v>
      </c>
      <c r="P83" s="74"/>
    </row>
    <row r="86" spans="2:16" ht="16" x14ac:dyDescent="0.5">
      <c r="B86" s="9" t="s">
        <v>84</v>
      </c>
      <c r="C86" s="9" t="s">
        <v>85</v>
      </c>
      <c r="D86" s="9" t="s">
        <v>86</v>
      </c>
      <c r="E86">
        <v>2021</v>
      </c>
      <c r="F86">
        <f>E86+1</f>
        <v>2022</v>
      </c>
      <c r="G86">
        <f t="shared" ref="G86:O86" si="80">F86+1</f>
        <v>2023</v>
      </c>
      <c r="H86">
        <f t="shared" si="80"/>
        <v>2024</v>
      </c>
      <c r="I86">
        <f t="shared" si="80"/>
        <v>2025</v>
      </c>
      <c r="J86">
        <f t="shared" si="80"/>
        <v>2026</v>
      </c>
      <c r="K86">
        <f t="shared" si="80"/>
        <v>2027</v>
      </c>
      <c r="L86">
        <f t="shared" si="80"/>
        <v>2028</v>
      </c>
      <c r="M86">
        <f t="shared" si="80"/>
        <v>2029</v>
      </c>
      <c r="N86">
        <f t="shared" si="80"/>
        <v>2030</v>
      </c>
      <c r="O86">
        <f t="shared" si="80"/>
        <v>2031</v>
      </c>
    </row>
    <row r="87" spans="2:16" x14ac:dyDescent="0.35">
      <c r="B87" s="5" cm="1">
        <f t="array" ref="B87:B96">TRANSPOSE(F86:O86)</f>
        <v>2022</v>
      </c>
      <c r="C87" s="41">
        <f ca="1">SUM(F87:O87)/-E87</f>
        <v>1.1623614210977586</v>
      </c>
      <c r="D87" s="42">
        <f ca="1">IRR(E87:O87)</f>
        <v>0.16236142109775864</v>
      </c>
      <c r="E87" s="16">
        <f ca="1">-$H$6</f>
        <v>-997.00000000000011</v>
      </c>
      <c r="F87" s="16">
        <f t="shared" ref="F87:O96" ca="1" si="81">IF(F$86=$B87,F$83,0)</f>
        <v>1158.8743368344656</v>
      </c>
      <c r="G87" s="16">
        <f t="shared" si="81"/>
        <v>0</v>
      </c>
      <c r="H87" s="16">
        <f t="shared" si="81"/>
        <v>0</v>
      </c>
      <c r="I87" s="16">
        <f t="shared" si="81"/>
        <v>0</v>
      </c>
      <c r="J87" s="16">
        <f t="shared" si="81"/>
        <v>0</v>
      </c>
      <c r="K87" s="16">
        <f t="shared" si="81"/>
        <v>0</v>
      </c>
      <c r="L87" s="16">
        <f t="shared" si="81"/>
        <v>0</v>
      </c>
      <c r="M87" s="16">
        <f t="shared" si="81"/>
        <v>0</v>
      </c>
      <c r="N87" s="16">
        <f t="shared" si="81"/>
        <v>0</v>
      </c>
      <c r="O87" s="16">
        <f t="shared" si="81"/>
        <v>0</v>
      </c>
      <c r="P87" s="16"/>
    </row>
    <row r="88" spans="2:16" x14ac:dyDescent="0.35">
      <c r="B88" s="5">
        <v>2023</v>
      </c>
      <c r="C88" s="41">
        <f ca="1">SUM(F88:O88)/-E88</f>
        <v>1.4378293482476139</v>
      </c>
      <c r="D88" s="42">
        <f t="shared" ref="D88:D96" ca="1" si="82">IRR(E88:O88)</f>
        <v>0.1990952206758283</v>
      </c>
      <c r="E88" s="16">
        <f t="shared" ref="E88:E96" ca="1" si="83">-$H$6</f>
        <v>-997.00000000000011</v>
      </c>
      <c r="F88" s="16">
        <f t="shared" si="81"/>
        <v>0</v>
      </c>
      <c r="G88" s="16">
        <f t="shared" ca="1" si="81"/>
        <v>1433.5158602028712</v>
      </c>
      <c r="H88" s="16">
        <f t="shared" si="81"/>
        <v>0</v>
      </c>
      <c r="I88" s="16">
        <f t="shared" si="81"/>
        <v>0</v>
      </c>
      <c r="J88" s="16">
        <f t="shared" si="81"/>
        <v>0</v>
      </c>
      <c r="K88" s="16">
        <f t="shared" si="81"/>
        <v>0</v>
      </c>
      <c r="L88" s="16">
        <f t="shared" si="81"/>
        <v>0</v>
      </c>
      <c r="M88" s="16">
        <f t="shared" si="81"/>
        <v>0</v>
      </c>
      <c r="N88" s="16">
        <f t="shared" si="81"/>
        <v>0</v>
      </c>
      <c r="O88" s="16">
        <f t="shared" si="81"/>
        <v>0</v>
      </c>
      <c r="P88" s="16"/>
    </row>
    <row r="89" spans="2:16" x14ac:dyDescent="0.35">
      <c r="B89" s="5">
        <v>2024</v>
      </c>
      <c r="C89" s="41">
        <f t="shared" ref="C89:C96" ca="1" si="84">SUM(F89:O89)/-E89</f>
        <v>1.7489505577057842</v>
      </c>
      <c r="D89" s="42">
        <f t="shared" ca="1" si="82"/>
        <v>0.20483019770777711</v>
      </c>
      <c r="E89" s="16">
        <f t="shared" ca="1" si="83"/>
        <v>-997.00000000000011</v>
      </c>
      <c r="F89" s="16">
        <f t="shared" si="81"/>
        <v>0</v>
      </c>
      <c r="G89" s="16">
        <f t="shared" si="81"/>
        <v>0</v>
      </c>
      <c r="H89" s="16">
        <f t="shared" ca="1" si="81"/>
        <v>1743.703706032667</v>
      </c>
      <c r="I89" s="16">
        <f t="shared" si="81"/>
        <v>0</v>
      </c>
      <c r="J89" s="16">
        <f t="shared" si="81"/>
        <v>0</v>
      </c>
      <c r="K89" s="16">
        <f t="shared" si="81"/>
        <v>0</v>
      </c>
      <c r="L89" s="16">
        <f t="shared" si="81"/>
        <v>0</v>
      </c>
      <c r="M89" s="16">
        <f t="shared" si="81"/>
        <v>0</v>
      </c>
      <c r="N89" s="16">
        <f t="shared" si="81"/>
        <v>0</v>
      </c>
      <c r="O89" s="16">
        <f t="shared" si="81"/>
        <v>0</v>
      </c>
      <c r="P89" s="16"/>
    </row>
    <row r="90" spans="2:16" x14ac:dyDescent="0.35">
      <c r="B90" s="5">
        <v>2025</v>
      </c>
      <c r="C90" s="41">
        <f t="shared" ca="1" si="84"/>
        <v>2.0998543075998217</v>
      </c>
      <c r="D90" s="42">
        <f t="shared" ca="1" si="82"/>
        <v>0.20378046382480375</v>
      </c>
      <c r="E90" s="16">
        <f t="shared" ca="1" si="83"/>
        <v>-997.00000000000011</v>
      </c>
      <c r="F90" s="16">
        <f t="shared" si="81"/>
        <v>0</v>
      </c>
      <c r="G90" s="16">
        <f t="shared" si="81"/>
        <v>0</v>
      </c>
      <c r="H90" s="16">
        <f t="shared" si="81"/>
        <v>0</v>
      </c>
      <c r="I90" s="16">
        <f t="shared" ca="1" si="81"/>
        <v>2093.5547446770224</v>
      </c>
      <c r="J90" s="16">
        <f t="shared" si="81"/>
        <v>0</v>
      </c>
      <c r="K90" s="16">
        <f t="shared" si="81"/>
        <v>0</v>
      </c>
      <c r="L90" s="16">
        <f t="shared" si="81"/>
        <v>0</v>
      </c>
      <c r="M90" s="16">
        <f t="shared" si="81"/>
        <v>0</v>
      </c>
      <c r="N90" s="16">
        <f t="shared" si="81"/>
        <v>0</v>
      </c>
      <c r="O90" s="16">
        <f t="shared" si="81"/>
        <v>0</v>
      </c>
      <c r="P90" s="16"/>
    </row>
    <row r="91" spans="2:16" x14ac:dyDescent="0.35">
      <c r="B91" s="84">
        <v>2026</v>
      </c>
      <c r="C91" s="85">
        <f t="shared" ca="1" si="84"/>
        <v>2.4951617658785352</v>
      </c>
      <c r="D91" s="86">
        <f t="shared" ca="1" si="82"/>
        <v>0.20065916797369976</v>
      </c>
      <c r="E91" s="87">
        <f t="shared" ca="1" si="83"/>
        <v>-997.00000000000011</v>
      </c>
      <c r="F91" s="87">
        <f t="shared" si="81"/>
        <v>0</v>
      </c>
      <c r="G91" s="87">
        <f t="shared" si="81"/>
        <v>0</v>
      </c>
      <c r="H91" s="87">
        <f t="shared" si="81"/>
        <v>0</v>
      </c>
      <c r="I91" s="87">
        <f t="shared" si="81"/>
        <v>0</v>
      </c>
      <c r="J91" s="87">
        <f t="shared" ca="1" si="81"/>
        <v>2487.6762805808985</v>
      </c>
      <c r="K91" s="87">
        <f t="shared" si="81"/>
        <v>0</v>
      </c>
      <c r="L91" s="87">
        <f t="shared" si="81"/>
        <v>0</v>
      </c>
      <c r="M91" s="87">
        <f t="shared" si="81"/>
        <v>0</v>
      </c>
      <c r="N91" s="87">
        <f t="shared" si="81"/>
        <v>0</v>
      </c>
      <c r="O91" s="87">
        <f t="shared" si="81"/>
        <v>0</v>
      </c>
    </row>
    <row r="92" spans="2:16" x14ac:dyDescent="0.35">
      <c r="B92" s="5">
        <v>2027</v>
      </c>
      <c r="C92" s="41">
        <f t="shared" ca="1" si="84"/>
        <v>2.9375452660840513</v>
      </c>
      <c r="D92" s="42">
        <f t="shared" ca="1" si="82"/>
        <v>0.19673344374434421</v>
      </c>
      <c r="E92" s="16">
        <f t="shared" ca="1" si="83"/>
        <v>-997.00000000000011</v>
      </c>
      <c r="F92" s="16">
        <f t="shared" si="81"/>
        <v>0</v>
      </c>
      <c r="G92" s="16">
        <f t="shared" si="81"/>
        <v>0</v>
      </c>
      <c r="H92" s="16">
        <f t="shared" si="81"/>
        <v>0</v>
      </c>
      <c r="I92" s="16">
        <f t="shared" si="81"/>
        <v>0</v>
      </c>
      <c r="J92" s="16">
        <f t="shared" si="81"/>
        <v>0</v>
      </c>
      <c r="K92" s="16">
        <f t="shared" ca="1" si="81"/>
        <v>2928.7326302858337</v>
      </c>
      <c r="L92" s="16">
        <f t="shared" si="81"/>
        <v>0</v>
      </c>
      <c r="M92" s="16">
        <f t="shared" si="81"/>
        <v>0</v>
      </c>
      <c r="N92" s="16">
        <f t="shared" si="81"/>
        <v>0</v>
      </c>
      <c r="O92" s="16">
        <f t="shared" si="81"/>
        <v>0</v>
      </c>
      <c r="P92" s="16"/>
    </row>
    <row r="93" spans="2:16" x14ac:dyDescent="0.35">
      <c r="B93" s="5">
        <v>2028</v>
      </c>
      <c r="C93" s="41">
        <f t="shared" ca="1" si="84"/>
        <v>3.4252553471952596</v>
      </c>
      <c r="D93" s="42">
        <f t="shared" ca="1" si="82"/>
        <v>0.19229770381144284</v>
      </c>
      <c r="E93" s="16">
        <f t="shared" ca="1" si="83"/>
        <v>-997.00000000000011</v>
      </c>
      <c r="F93" s="16">
        <f t="shared" si="81"/>
        <v>0</v>
      </c>
      <c r="G93" s="16">
        <f t="shared" si="81"/>
        <v>0</v>
      </c>
      <c r="H93" s="16">
        <f t="shared" si="81"/>
        <v>0</v>
      </c>
      <c r="I93" s="16">
        <f t="shared" si="81"/>
        <v>0</v>
      </c>
      <c r="J93" s="16">
        <f t="shared" si="81"/>
        <v>0</v>
      </c>
      <c r="K93" s="16">
        <f t="shared" si="81"/>
        <v>0</v>
      </c>
      <c r="L93" s="16">
        <f t="shared" ca="1" si="81"/>
        <v>3414.9795811537101</v>
      </c>
      <c r="M93" s="16">
        <f t="shared" si="81"/>
        <v>0</v>
      </c>
      <c r="N93" s="16">
        <f t="shared" si="81"/>
        <v>0</v>
      </c>
      <c r="O93" s="16">
        <f t="shared" si="81"/>
        <v>0</v>
      </c>
      <c r="P93" s="16"/>
    </row>
    <row r="94" spans="2:16" x14ac:dyDescent="0.35">
      <c r="B94" s="5">
        <v>2029</v>
      </c>
      <c r="C94" s="41">
        <f t="shared" ca="1" si="84"/>
        <v>3.8866034538602121</v>
      </c>
      <c r="D94" s="42">
        <f t="shared" ca="1" si="82"/>
        <v>0.1849397785578164</v>
      </c>
      <c r="E94" s="16">
        <f t="shared" ca="1" si="83"/>
        <v>-997.00000000000011</v>
      </c>
      <c r="F94" s="16">
        <f t="shared" si="81"/>
        <v>0</v>
      </c>
      <c r="G94" s="16">
        <f t="shared" si="81"/>
        <v>0</v>
      </c>
      <c r="H94" s="16">
        <f t="shared" si="81"/>
        <v>0</v>
      </c>
      <c r="I94" s="16">
        <f t="shared" si="81"/>
        <v>0</v>
      </c>
      <c r="J94" s="16">
        <f t="shared" si="81"/>
        <v>0</v>
      </c>
      <c r="K94" s="16">
        <f t="shared" si="81"/>
        <v>0</v>
      </c>
      <c r="L94" s="16">
        <f t="shared" si="81"/>
        <v>0</v>
      </c>
      <c r="M94" s="16">
        <f t="shared" ca="1" si="81"/>
        <v>3874.9436434986319</v>
      </c>
      <c r="N94" s="16">
        <f t="shared" si="81"/>
        <v>0</v>
      </c>
      <c r="O94" s="16">
        <f t="shared" si="81"/>
        <v>0</v>
      </c>
      <c r="P94" s="16"/>
    </row>
    <row r="95" spans="2:16" x14ac:dyDescent="0.35">
      <c r="B95" s="5">
        <v>2030</v>
      </c>
      <c r="C95" s="41">
        <f t="shared" ca="1" si="84"/>
        <v>4.2583181354306223</v>
      </c>
      <c r="D95" s="42">
        <f t="shared" ca="1" si="82"/>
        <v>0.17466855968052353</v>
      </c>
      <c r="E95" s="16">
        <f t="shared" ca="1" si="83"/>
        <v>-997.00000000000011</v>
      </c>
      <c r="F95" s="16">
        <f t="shared" si="81"/>
        <v>0</v>
      </c>
      <c r="G95" s="16">
        <f t="shared" si="81"/>
        <v>0</v>
      </c>
      <c r="H95" s="16">
        <f t="shared" si="81"/>
        <v>0</v>
      </c>
      <c r="I95" s="16">
        <f t="shared" si="81"/>
        <v>0</v>
      </c>
      <c r="J95" s="16">
        <f t="shared" si="81"/>
        <v>0</v>
      </c>
      <c r="K95" s="16">
        <f t="shared" si="81"/>
        <v>0</v>
      </c>
      <c r="L95" s="16">
        <f t="shared" si="81"/>
        <v>0</v>
      </c>
      <c r="M95" s="16">
        <f t="shared" si="81"/>
        <v>0</v>
      </c>
      <c r="N95" s="16">
        <f t="shared" ca="1" si="81"/>
        <v>4245.5431810243308</v>
      </c>
      <c r="O95" s="16">
        <f t="shared" si="81"/>
        <v>0</v>
      </c>
      <c r="P95" s="16"/>
    </row>
    <row r="96" spans="2:16" x14ac:dyDescent="0.35">
      <c r="B96" s="5">
        <v>2031</v>
      </c>
      <c r="C96" s="41">
        <f t="shared" ca="1" si="84"/>
        <v>4.6682361365241789</v>
      </c>
      <c r="D96" s="42">
        <f t="shared" ca="1" si="82"/>
        <v>0.16658202819891743</v>
      </c>
      <c r="E96" s="16">
        <f t="shared" ca="1" si="83"/>
        <v>-997.00000000000011</v>
      </c>
      <c r="F96" s="16">
        <f t="shared" si="81"/>
        <v>0</v>
      </c>
      <c r="G96" s="16">
        <f t="shared" si="81"/>
        <v>0</v>
      </c>
      <c r="H96" s="16">
        <f t="shared" si="81"/>
        <v>0</v>
      </c>
      <c r="I96" s="16">
        <f t="shared" si="81"/>
        <v>0</v>
      </c>
      <c r="J96" s="16">
        <f t="shared" si="81"/>
        <v>0</v>
      </c>
      <c r="K96" s="16">
        <f t="shared" si="81"/>
        <v>0</v>
      </c>
      <c r="L96" s="16">
        <f t="shared" si="81"/>
        <v>0</v>
      </c>
      <c r="M96" s="16">
        <f t="shared" si="81"/>
        <v>0</v>
      </c>
      <c r="N96" s="16">
        <f t="shared" si="81"/>
        <v>0</v>
      </c>
      <c r="O96" s="16">
        <f t="shared" ca="1" si="81"/>
        <v>4654.2314281146073</v>
      </c>
      <c r="P96" s="16"/>
    </row>
    <row r="99" spans="2:3" x14ac:dyDescent="0.35">
      <c r="B99" t="s">
        <v>104</v>
      </c>
      <c r="C99" s="16">
        <f ca="1">-$E$87</f>
        <v>997.00000000000011</v>
      </c>
    </row>
    <row r="100" spans="2:3" x14ac:dyDescent="0.35">
      <c r="B100" t="s">
        <v>37</v>
      </c>
      <c r="C100" s="16">
        <f ca="1">(J21-E21)*E33*E5</f>
        <v>683.48494727329694</v>
      </c>
    </row>
    <row r="101" spans="2:3" x14ac:dyDescent="0.35">
      <c r="B101" t="s">
        <v>115</v>
      </c>
      <c r="C101" s="16">
        <f ca="1">(J33-E33)*J21*E5</f>
        <v>90.31888905651536</v>
      </c>
    </row>
    <row r="102" spans="2:3" x14ac:dyDescent="0.35">
      <c r="B102" t="s">
        <v>116</v>
      </c>
      <c r="C102" s="16">
        <f ca="1">(J80-E5)*J79</f>
        <v>153.36273977061327</v>
      </c>
    </row>
    <row r="103" spans="2:3" x14ac:dyDescent="0.35">
      <c r="B103" t="s">
        <v>113</v>
      </c>
      <c r="C103" s="16">
        <f ca="1">F54-J57</f>
        <v>615.50970448047315</v>
      </c>
    </row>
    <row r="104" spans="2:3" x14ac:dyDescent="0.35">
      <c r="B104" t="s">
        <v>114</v>
      </c>
      <c r="C104" s="16">
        <f>-H10</f>
        <v>-52</v>
      </c>
    </row>
    <row r="105" spans="2:3" x14ac:dyDescent="0.35">
      <c r="B105" t="s">
        <v>103</v>
      </c>
      <c r="C105" s="16">
        <f ca="1">SUM(C99:C104)</f>
        <v>2487.6762805808989</v>
      </c>
    </row>
  </sheetData>
  <mergeCells count="1">
    <mergeCell ref="V46:W4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950C-DE9C-40C1-9DBE-0CE8B39E5222}">
  <dimension ref="B3:J10"/>
  <sheetViews>
    <sheetView showGridLines="0" zoomScale="120" workbookViewId="0">
      <selection activeCell="B22" sqref="B22"/>
    </sheetView>
  </sheetViews>
  <sheetFormatPr defaultRowHeight="14.5" outlineLevelCol="1" x14ac:dyDescent="0.35"/>
  <cols>
    <col min="2" max="2" width="25.6328125" customWidth="1"/>
    <col min="3" max="5" width="10.6328125" hidden="1" customWidth="1" outlineLevel="1"/>
    <col min="6" max="6" width="10.6328125" customWidth="1" collapsed="1"/>
    <col min="7" max="8" width="10.6328125" customWidth="1"/>
    <col min="9" max="9" width="13.36328125" bestFit="1" customWidth="1"/>
    <col min="10" max="10" width="10.6328125" customWidth="1"/>
  </cols>
  <sheetData>
    <row r="3" spans="2:10" ht="16" x14ac:dyDescent="0.5">
      <c r="B3" s="51" t="s">
        <v>45</v>
      </c>
      <c r="C3" s="51" t="s">
        <v>46</v>
      </c>
      <c r="D3" s="51" t="s">
        <v>47</v>
      </c>
      <c r="E3" s="51" t="s">
        <v>48</v>
      </c>
      <c r="F3" s="51" t="s">
        <v>58</v>
      </c>
      <c r="G3" s="51" t="s">
        <v>21</v>
      </c>
      <c r="H3" s="51" t="s">
        <v>6</v>
      </c>
      <c r="I3" s="51" t="s">
        <v>49</v>
      </c>
      <c r="J3" s="51" t="s">
        <v>50</v>
      </c>
    </row>
    <row r="4" spans="2:10" x14ac:dyDescent="0.35">
      <c r="B4" t="s">
        <v>51</v>
      </c>
      <c r="C4" s="16">
        <v>7172</v>
      </c>
      <c r="D4" s="16">
        <v>3211</v>
      </c>
      <c r="E4" s="16">
        <v>1208</v>
      </c>
      <c r="F4" s="16">
        <f>C4-E4+D4</f>
        <v>9175</v>
      </c>
      <c r="G4" s="16">
        <v>5071</v>
      </c>
      <c r="H4" s="16">
        <v>1321</v>
      </c>
      <c r="I4" s="7">
        <f>IFERROR(H4/G4,"")</f>
        <v>0.26050088739893512</v>
      </c>
      <c r="J4" s="22">
        <f>F4/H4</f>
        <v>6.9454958364875097</v>
      </c>
    </row>
    <row r="5" spans="2:10" x14ac:dyDescent="0.35">
      <c r="B5" t="s">
        <v>52</v>
      </c>
      <c r="C5" s="16">
        <v>3384</v>
      </c>
      <c r="D5" s="16">
        <v>6</v>
      </c>
      <c r="E5" s="16">
        <v>403</v>
      </c>
      <c r="F5" s="16">
        <f t="shared" ref="F5:F7" si="0">C5-E5+D5</f>
        <v>2987</v>
      </c>
      <c r="G5" s="16">
        <v>459</v>
      </c>
      <c r="H5" s="16">
        <v>-37</v>
      </c>
      <c r="I5" s="21" t="s">
        <v>57</v>
      </c>
      <c r="J5" s="23" t="s">
        <v>57</v>
      </c>
    </row>
    <row r="6" spans="2:10" x14ac:dyDescent="0.35">
      <c r="B6" t="s">
        <v>53</v>
      </c>
      <c r="C6" s="16">
        <v>8774</v>
      </c>
      <c r="D6" s="16">
        <v>112</v>
      </c>
      <c r="E6" s="16">
        <v>418</v>
      </c>
      <c r="F6" s="16">
        <f t="shared" si="0"/>
        <v>8468</v>
      </c>
      <c r="G6" s="16">
        <v>609</v>
      </c>
      <c r="H6" s="16">
        <v>71</v>
      </c>
      <c r="I6" s="7">
        <f t="shared" ref="I6:I7" si="1">IFERROR(H6/G6,"")</f>
        <v>0.11658456486042693</v>
      </c>
      <c r="J6" s="22">
        <f t="shared" ref="J6:J7" si="2">F6/H6</f>
        <v>119.26760563380282</v>
      </c>
    </row>
    <row r="7" spans="2:10" x14ac:dyDescent="0.35">
      <c r="B7" t="s">
        <v>54</v>
      </c>
      <c r="C7" s="16">
        <v>616</v>
      </c>
      <c r="D7" s="16">
        <v>83</v>
      </c>
      <c r="E7" s="16">
        <v>133</v>
      </c>
      <c r="F7" s="16">
        <f t="shared" si="0"/>
        <v>566</v>
      </c>
      <c r="G7" s="16">
        <v>459</v>
      </c>
      <c r="H7" s="16">
        <v>80</v>
      </c>
      <c r="I7" s="7">
        <f t="shared" si="1"/>
        <v>0.17429193899782136</v>
      </c>
      <c r="J7" s="22">
        <f t="shared" si="2"/>
        <v>7.0750000000000002</v>
      </c>
    </row>
    <row r="8" spans="2:10" x14ac:dyDescent="0.35">
      <c r="B8" s="20" t="s">
        <v>56</v>
      </c>
      <c r="C8" s="26">
        <f>MEDIAN(C4:C7)</f>
        <v>5278</v>
      </c>
      <c r="D8" s="26">
        <f t="shared" ref="D8:J8" si="3">MEDIAN(D4:D7)</f>
        <v>97.5</v>
      </c>
      <c r="E8" s="26">
        <f t="shared" si="3"/>
        <v>410.5</v>
      </c>
      <c r="F8" s="26">
        <f t="shared" si="3"/>
        <v>5727.5</v>
      </c>
      <c r="G8" s="26">
        <f t="shared" si="3"/>
        <v>534</v>
      </c>
      <c r="H8" s="26">
        <f t="shared" si="3"/>
        <v>75.5</v>
      </c>
      <c r="I8" s="24">
        <f t="shared" si="3"/>
        <v>0.17429193899782136</v>
      </c>
      <c r="J8" s="25">
        <f t="shared" si="3"/>
        <v>7.0750000000000002</v>
      </c>
    </row>
    <row r="10" spans="2:10" x14ac:dyDescent="0.35">
      <c r="B10" s="29" t="s">
        <v>55</v>
      </c>
      <c r="C10" s="29">
        <v>723</v>
      </c>
      <c r="D10" s="29">
        <v>843</v>
      </c>
      <c r="E10" s="30">
        <v>155</v>
      </c>
      <c r="F10" s="30">
        <f t="shared" ref="F10" si="4">C10-E10+D10</f>
        <v>1411</v>
      </c>
      <c r="G10" s="29">
        <v>1284</v>
      </c>
      <c r="H10" s="30">
        <f>'Adj. EBITDA'!C22</f>
        <v>210.00000000000003</v>
      </c>
      <c r="I10" s="31">
        <f>H10/G10</f>
        <v>0.1635514018691589</v>
      </c>
      <c r="J10" s="32">
        <f t="shared" ref="J10" si="5">F10/H10</f>
        <v>6.7190476190476183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2B97-09FF-44A2-B1CE-67FDEB1BE8F2}">
  <dimension ref="B2:C23"/>
  <sheetViews>
    <sheetView showGridLines="0" workbookViewId="0">
      <selection activeCell="B27" sqref="B27"/>
    </sheetView>
  </sheetViews>
  <sheetFormatPr defaultRowHeight="14.5" x14ac:dyDescent="0.35"/>
  <cols>
    <col min="2" max="2" width="40.6328125" customWidth="1"/>
  </cols>
  <sheetData>
    <row r="2" spans="2:3" x14ac:dyDescent="0.35">
      <c r="B2" s="2" t="s">
        <v>107</v>
      </c>
      <c r="C2" s="1"/>
    </row>
    <row r="3" spans="2:3" x14ac:dyDescent="0.35">
      <c r="B3" s="3" t="s">
        <v>2</v>
      </c>
      <c r="C3" s="48">
        <v>-43.6</v>
      </c>
    </row>
    <row r="4" spans="2:3" x14ac:dyDescent="0.35">
      <c r="B4" s="3" t="s">
        <v>3</v>
      </c>
      <c r="C4" s="48">
        <v>69.5</v>
      </c>
    </row>
    <row r="5" spans="2:3" x14ac:dyDescent="0.35">
      <c r="B5" s="3" t="s">
        <v>4</v>
      </c>
      <c r="C5" s="48">
        <v>57</v>
      </c>
    </row>
    <row r="6" spans="2:3" x14ac:dyDescent="0.35">
      <c r="B6" s="3" t="s">
        <v>5</v>
      </c>
      <c r="C6" s="48">
        <v>56.4</v>
      </c>
    </row>
    <row r="7" spans="2:3" x14ac:dyDescent="0.35">
      <c r="B7" s="33" t="s">
        <v>6</v>
      </c>
      <c r="C7" s="26">
        <f>SUM(C3:C6)</f>
        <v>139.30000000000001</v>
      </c>
    </row>
    <row r="8" spans="2:3" x14ac:dyDescent="0.35">
      <c r="C8" s="16"/>
    </row>
    <row r="9" spans="2:3" x14ac:dyDescent="0.35">
      <c r="B9" s="2" t="s">
        <v>108</v>
      </c>
      <c r="C9" s="77"/>
    </row>
    <row r="10" spans="2:3" x14ac:dyDescent="0.35">
      <c r="B10" s="3" t="s">
        <v>7</v>
      </c>
      <c r="C10" s="48">
        <v>14.1</v>
      </c>
    </row>
    <row r="11" spans="2:3" x14ac:dyDescent="0.35">
      <c r="B11" s="3" t="s">
        <v>8</v>
      </c>
      <c r="C11" s="48">
        <v>7.3</v>
      </c>
    </row>
    <row r="12" spans="2:3" x14ac:dyDescent="0.35">
      <c r="B12" s="3" t="s">
        <v>9</v>
      </c>
      <c r="C12" s="48">
        <v>9.4</v>
      </c>
    </row>
    <row r="13" spans="2:3" x14ac:dyDescent="0.35">
      <c r="B13" s="3" t="s">
        <v>10</v>
      </c>
      <c r="C13" s="48">
        <v>2.9</v>
      </c>
    </row>
    <row r="14" spans="2:3" x14ac:dyDescent="0.35">
      <c r="B14" s="3" t="s">
        <v>11</v>
      </c>
      <c r="C14" s="48">
        <v>44.1</v>
      </c>
    </row>
    <row r="15" spans="2:3" x14ac:dyDescent="0.35">
      <c r="B15" s="3" t="s">
        <v>12</v>
      </c>
      <c r="C15" s="48">
        <v>0.2</v>
      </c>
    </row>
    <row r="16" spans="2:3" x14ac:dyDescent="0.35">
      <c r="B16" s="3" t="s">
        <v>13</v>
      </c>
      <c r="C16" s="48">
        <v>4.9000000000000004</v>
      </c>
    </row>
    <row r="17" spans="2:3" x14ac:dyDescent="0.35">
      <c r="B17" s="33" t="s">
        <v>14</v>
      </c>
      <c r="C17" s="26">
        <f>SUM(C10:C16)+C7</f>
        <v>222.20000000000002</v>
      </c>
    </row>
    <row r="18" spans="2:3" x14ac:dyDescent="0.35">
      <c r="C18" s="16"/>
    </row>
    <row r="19" spans="2:3" x14ac:dyDescent="0.35">
      <c r="C19" s="16"/>
    </row>
    <row r="20" spans="2:3" x14ac:dyDescent="0.35">
      <c r="B20" s="3" t="s">
        <v>8</v>
      </c>
      <c r="C20" s="16">
        <f>-C11</f>
        <v>-7.3</v>
      </c>
    </row>
    <row r="21" spans="2:3" x14ac:dyDescent="0.35">
      <c r="B21" s="3" t="s">
        <v>15</v>
      </c>
      <c r="C21" s="16">
        <f>-C16</f>
        <v>-4.9000000000000004</v>
      </c>
    </row>
    <row r="22" spans="2:3" x14ac:dyDescent="0.35">
      <c r="B22" s="33" t="s">
        <v>16</v>
      </c>
      <c r="C22" s="26">
        <f>SUM(C20:C21)+C17</f>
        <v>210.00000000000003</v>
      </c>
    </row>
    <row r="23" spans="2:3" x14ac:dyDescent="0.35">
      <c r="B23" s="6" t="s">
        <v>109</v>
      </c>
      <c r="C23" s="78">
        <f>C22/Model!$E$21</f>
        <v>0.1635514018691589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</vt:lpstr>
      <vt:lpstr>Comps</vt:lpstr>
      <vt:lpstr>Adj. 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Nathaniel Littkemann</cp:lastModifiedBy>
  <dcterms:created xsi:type="dcterms:W3CDTF">2015-06-05T18:17:20Z</dcterms:created>
  <dcterms:modified xsi:type="dcterms:W3CDTF">2025-01-15T18:07:26Z</dcterms:modified>
</cp:coreProperties>
</file>