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urface\Desktop\JDCC #1\"/>
    </mc:Choice>
  </mc:AlternateContent>
  <xr:revisionPtr revIDLastSave="0" documentId="13_ncr:1_{BAC6E466-7D5F-4604-BAE6-A60042EDAF5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</sheets>
  <definedNames>
    <definedName name="_xlchart.v1.0" hidden="1">Sheet1!$M$48:$M$52</definedName>
    <definedName name="_xlchart.v1.1" hidden="1">Sheet1!$N$48:$N$52</definedName>
    <definedName name="_xlchart.v1.2" hidden="1">Sheet1!$M$50:$M$54</definedName>
    <definedName name="_xlchart.v1.3" hidden="1">Sheet1!$N$50:$N$54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C75" i="1"/>
  <c r="D65" i="1"/>
  <c r="E65" i="1" s="1"/>
  <c r="F65" i="1" s="1"/>
  <c r="G65" i="1" s="1"/>
  <c r="H65" i="1" s="1"/>
  <c r="X30" i="1"/>
  <c r="Y30" i="1"/>
  <c r="Z30" i="1"/>
  <c r="AA30" i="1"/>
  <c r="AB30" i="1"/>
  <c r="AC30" i="1"/>
  <c r="AD30" i="1"/>
  <c r="AE30" i="1"/>
  <c r="AF30" i="1"/>
  <c r="AG30" i="1"/>
  <c r="AH30" i="1"/>
  <c r="W3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O21" i="1"/>
  <c r="O22" i="1"/>
  <c r="O23" i="1"/>
  <c r="O20" i="1"/>
  <c r="O50" i="1" a="1"/>
  <c r="O50" i="1" s="1"/>
  <c r="N50" i="1" s="1"/>
  <c r="M50" i="1" a="1"/>
  <c r="M50" i="1" s="1"/>
  <c r="N34" i="1"/>
  <c r="N35" i="1"/>
  <c r="N36" i="1"/>
  <c r="N37" i="1"/>
  <c r="N38" i="1"/>
  <c r="N39" i="1"/>
  <c r="N40" i="1"/>
  <c r="N43" i="1"/>
  <c r="N44" i="1"/>
  <c r="N45" i="1"/>
  <c r="N46" i="1"/>
  <c r="N33" i="1"/>
  <c r="M34" i="1"/>
  <c r="M35" i="1"/>
  <c r="M36" i="1"/>
  <c r="M37" i="1"/>
  <c r="M38" i="1"/>
  <c r="M39" i="1"/>
  <c r="M40" i="1"/>
  <c r="M43" i="1"/>
  <c r="M44" i="1"/>
  <c r="M45" i="1"/>
  <c r="M46" i="1"/>
  <c r="M33" i="1"/>
  <c r="AH18" i="1"/>
  <c r="AF18" i="1"/>
  <c r="AH17" i="1"/>
  <c r="AG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H12" i="1"/>
  <c r="AG12" i="1"/>
  <c r="AF12" i="1"/>
  <c r="AH11" i="1"/>
  <c r="AG11" i="1"/>
  <c r="AF11" i="1"/>
  <c r="AH10" i="1"/>
  <c r="AG10" i="1"/>
  <c r="AF10" i="1"/>
  <c r="AH9" i="1"/>
  <c r="AG9" i="1"/>
  <c r="AF9" i="1"/>
  <c r="AH8" i="1"/>
  <c r="AG8" i="1"/>
  <c r="AF8" i="1"/>
  <c r="X8" i="1"/>
  <c r="Y8" i="1"/>
  <c r="Z8" i="1"/>
  <c r="AA8" i="1"/>
  <c r="AB8" i="1"/>
  <c r="AC8" i="1"/>
  <c r="AD8" i="1"/>
  <c r="AE8" i="1"/>
  <c r="Y9" i="1"/>
  <c r="Z9" i="1"/>
  <c r="AA9" i="1"/>
  <c r="AB9" i="1"/>
  <c r="AC9" i="1"/>
  <c r="AD9" i="1"/>
  <c r="AE9" i="1"/>
  <c r="X10" i="1"/>
  <c r="Z10" i="1"/>
  <c r="AA10" i="1"/>
  <c r="AB10" i="1"/>
  <c r="AC10" i="1"/>
  <c r="AD10" i="1"/>
  <c r="AE10" i="1"/>
  <c r="X11" i="1"/>
  <c r="Y11" i="1"/>
  <c r="AA11" i="1"/>
  <c r="AB11" i="1"/>
  <c r="AC11" i="1"/>
  <c r="AD11" i="1"/>
  <c r="AE11" i="1"/>
  <c r="X12" i="1"/>
  <c r="Y12" i="1"/>
  <c r="Z12" i="1"/>
  <c r="AB12" i="1"/>
  <c r="AC12" i="1"/>
  <c r="AD12" i="1"/>
  <c r="AE12" i="1"/>
  <c r="X13" i="1"/>
  <c r="Y13" i="1"/>
  <c r="Z13" i="1"/>
  <c r="AA13" i="1"/>
  <c r="AC13" i="1"/>
  <c r="AD13" i="1"/>
  <c r="AE13" i="1"/>
  <c r="X14" i="1"/>
  <c r="Y14" i="1"/>
  <c r="Z14" i="1"/>
  <c r="AA14" i="1"/>
  <c r="AB14" i="1"/>
  <c r="AD14" i="1"/>
  <c r="AE14" i="1"/>
  <c r="X15" i="1"/>
  <c r="Y15" i="1"/>
  <c r="Z15" i="1"/>
  <c r="AA15" i="1"/>
  <c r="AB15" i="1"/>
  <c r="AC15" i="1"/>
  <c r="AE15" i="1"/>
  <c r="X16" i="1"/>
  <c r="Y16" i="1"/>
  <c r="Z16" i="1"/>
  <c r="AA16" i="1"/>
  <c r="AB16" i="1"/>
  <c r="AC16" i="1"/>
  <c r="AD16" i="1"/>
  <c r="X17" i="1"/>
  <c r="Y17" i="1"/>
  <c r="Z17" i="1"/>
  <c r="AA17" i="1"/>
  <c r="AB17" i="1"/>
  <c r="AC17" i="1"/>
  <c r="AD17" i="1"/>
  <c r="AE17" i="1"/>
  <c r="X18" i="1"/>
  <c r="Y18" i="1"/>
  <c r="Z18" i="1"/>
  <c r="AA18" i="1"/>
  <c r="AB18" i="1"/>
  <c r="AC18" i="1"/>
  <c r="AD18" i="1"/>
  <c r="AE18" i="1"/>
  <c r="W9" i="1"/>
  <c r="W10" i="1"/>
  <c r="W11" i="1"/>
  <c r="W12" i="1"/>
  <c r="W13" i="1"/>
  <c r="W14" i="1"/>
  <c r="W15" i="1"/>
  <c r="W16" i="1"/>
  <c r="W17" i="1"/>
  <c r="W18" i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2" i="1"/>
  <c r="V12" i="1" s="1"/>
  <c r="T9" i="1"/>
  <c r="U9" i="1" s="1"/>
  <c r="V9" i="1" s="1"/>
  <c r="T10" i="1"/>
  <c r="U10" i="1" s="1"/>
  <c r="V10" i="1" s="1"/>
  <c r="T11" i="1"/>
  <c r="U11" i="1" s="1"/>
  <c r="V11" i="1" s="1"/>
  <c r="T8" i="1"/>
  <c r="U8" i="1" s="1"/>
  <c r="V8" i="1" s="1"/>
  <c r="S16" i="1"/>
  <c r="T16" i="1" s="1"/>
  <c r="S17" i="1"/>
  <c r="T17" i="1" s="1"/>
  <c r="S18" i="1"/>
  <c r="T18" i="1" s="1"/>
  <c r="S15" i="1"/>
  <c r="T15" i="1" s="1"/>
  <c r="R13" i="1"/>
  <c r="R14" i="1"/>
  <c r="R12" i="1"/>
  <c r="Q13" i="1"/>
  <c r="Q14" i="1"/>
  <c r="Q12" i="1"/>
  <c r="P16" i="1"/>
  <c r="Q16" i="1" s="1"/>
  <c r="R16" i="1" s="1"/>
  <c r="P17" i="1"/>
  <c r="Q17" i="1" s="1"/>
  <c r="R17" i="1" s="1"/>
  <c r="P18" i="1"/>
  <c r="Q18" i="1" s="1"/>
  <c r="R18" i="1" s="1"/>
  <c r="P19" i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P15" i="1"/>
  <c r="Q15" i="1" s="1"/>
  <c r="R15" i="1" s="1"/>
  <c r="P25" i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F11" i="2"/>
  <c r="C13" i="2"/>
  <c r="C47" i="1"/>
  <c r="C55" i="1" s="1"/>
  <c r="N16" i="1"/>
  <c r="N17" i="1"/>
  <c r="N18" i="1"/>
  <c r="N19" i="1"/>
  <c r="B62" i="1"/>
  <c r="B63" i="1"/>
  <c r="B61" i="1"/>
  <c r="C58" i="1"/>
  <c r="C33" i="1" s="1"/>
  <c r="C23" i="1"/>
  <c r="C22" i="1"/>
  <c r="C21" i="1"/>
  <c r="C17" i="1"/>
  <c r="C34" i="1" s="1"/>
  <c r="D6" i="1"/>
  <c r="E6" i="1" s="1"/>
  <c r="F6" i="1" s="1"/>
  <c r="G6" i="1" s="1"/>
  <c r="H6" i="1" s="1"/>
  <c r="C66" i="1" l="1"/>
  <c r="C18" i="1"/>
  <c r="C67" i="1" s="1"/>
  <c r="P33" i="1" a="1"/>
  <c r="N54" i="1"/>
  <c r="N53" i="1"/>
  <c r="N52" i="1"/>
  <c r="N51" i="1"/>
  <c r="C62" i="1"/>
  <c r="S13" i="1" s="1"/>
  <c r="T13" i="1" s="1"/>
  <c r="C63" i="1"/>
  <c r="S14" i="1" s="1"/>
  <c r="T14" i="1" s="1"/>
  <c r="C59" i="1"/>
  <c r="C24" i="1"/>
  <c r="C25" i="1" s="1"/>
  <c r="C15" i="2" s="1"/>
  <c r="C61" i="1"/>
  <c r="S12" i="1" s="1"/>
  <c r="T12" i="1" s="1"/>
  <c r="C26" i="1" l="1"/>
  <c r="C70" i="1" s="1"/>
  <c r="C69" i="1"/>
  <c r="P33" i="1"/>
  <c r="Q33" i="1" s="1"/>
  <c r="Q34" i="1"/>
  <c r="Q44" i="1"/>
  <c r="Q36" i="1"/>
  <c r="Q46" i="1"/>
  <c r="Q35" i="1"/>
  <c r="Q45" i="1"/>
  <c r="Q37" i="1"/>
  <c r="Q38" i="1"/>
  <c r="Q39" i="1"/>
  <c r="Q40" i="1"/>
  <c r="Q43" i="1"/>
  <c r="C31" i="1"/>
  <c r="C32" i="1" s="1"/>
  <c r="C35" i="1" s="1"/>
  <c r="N15" i="1"/>
  <c r="N7" i="1"/>
  <c r="N13" i="1"/>
  <c r="H62" i="1" s="1"/>
  <c r="N14" i="1"/>
  <c r="H63" i="1" s="1"/>
  <c r="N8" i="1"/>
  <c r="N12" i="1"/>
  <c r="H61" i="1" s="1"/>
  <c r="N10" i="1"/>
  <c r="N9" i="1"/>
  <c r="N11" i="1"/>
  <c r="C37" i="1" l="1"/>
  <c r="C74" i="1" s="1"/>
  <c r="C72" i="1"/>
  <c r="D63" i="1"/>
  <c r="E63" i="1" s="1"/>
  <c r="D61" i="1"/>
  <c r="E61" i="1" s="1"/>
  <c r="D62" i="1"/>
  <c r="E62" i="1" s="1"/>
  <c r="H10" i="1"/>
  <c r="G10" i="1"/>
  <c r="E10" i="1"/>
  <c r="F10" i="1"/>
  <c r="D16" i="1"/>
  <c r="D15" i="1" s="1"/>
  <c r="E16" i="1"/>
  <c r="F16" i="1"/>
  <c r="G16" i="1"/>
  <c r="H16" i="1"/>
  <c r="E12" i="1"/>
  <c r="G12" i="1"/>
  <c r="F12" i="1"/>
  <c r="H12" i="1"/>
  <c r="E14" i="1"/>
  <c r="F14" i="1"/>
  <c r="H14" i="1"/>
  <c r="G14" i="1"/>
  <c r="D14" i="1"/>
  <c r="D13" i="1" s="1"/>
  <c r="D10" i="1"/>
  <c r="D9" i="1" s="1"/>
  <c r="D12" i="1"/>
  <c r="D11" i="1" s="1"/>
  <c r="F61" i="1" l="1"/>
  <c r="F62" i="1"/>
  <c r="F63" i="1"/>
  <c r="E15" i="1"/>
  <c r="F15" i="1" s="1"/>
  <c r="G15" i="1" s="1"/>
  <c r="H15" i="1" s="1"/>
  <c r="I15" i="1" s="1"/>
  <c r="E11" i="1"/>
  <c r="F11" i="1" s="1"/>
  <c r="G11" i="1" s="1"/>
  <c r="H11" i="1" s="1"/>
  <c r="I11" i="1" s="1"/>
  <c r="E9" i="1"/>
  <c r="D17" i="1"/>
  <c r="E13" i="1"/>
  <c r="F13" i="1" s="1"/>
  <c r="G13" i="1" s="1"/>
  <c r="H13" i="1" s="1"/>
  <c r="I13" i="1" s="1"/>
  <c r="D34" i="1" l="1"/>
  <c r="D66" i="1"/>
  <c r="D58" i="1"/>
  <c r="D33" i="1"/>
  <c r="G62" i="1"/>
  <c r="G61" i="1"/>
  <c r="G63" i="1"/>
  <c r="D22" i="1"/>
  <c r="D23" i="1"/>
  <c r="D18" i="1"/>
  <c r="D67" i="1" s="1"/>
  <c r="D21" i="1"/>
  <c r="F9" i="1"/>
  <c r="E17" i="1"/>
  <c r="E34" i="1" l="1"/>
  <c r="E66" i="1"/>
  <c r="E58" i="1"/>
  <c r="E33" i="1"/>
  <c r="D24" i="1"/>
  <c r="D25" i="1" s="1"/>
  <c r="D69" i="1" s="1"/>
  <c r="E18" i="1"/>
  <c r="E67" i="1" s="1"/>
  <c r="E21" i="1"/>
  <c r="E22" i="1"/>
  <c r="E23" i="1"/>
  <c r="G9" i="1"/>
  <c r="F17" i="1"/>
  <c r="F34" i="1" l="1"/>
  <c r="F66" i="1"/>
  <c r="D26" i="1"/>
  <c r="D70" i="1" s="1"/>
  <c r="D27" i="1"/>
  <c r="F58" i="1"/>
  <c r="F33" i="1"/>
  <c r="D31" i="1"/>
  <c r="E24" i="1"/>
  <c r="E25" i="1" s="1"/>
  <c r="F18" i="1"/>
  <c r="F67" i="1" s="1"/>
  <c r="F22" i="1"/>
  <c r="F21" i="1"/>
  <c r="F23" i="1"/>
  <c r="H9" i="1"/>
  <c r="G17" i="1"/>
  <c r="E27" i="1" l="1"/>
  <c r="E69" i="1"/>
  <c r="G34" i="1"/>
  <c r="G66" i="1"/>
  <c r="H17" i="1"/>
  <c r="H66" i="1" s="1"/>
  <c r="I9" i="1"/>
  <c r="D32" i="1"/>
  <c r="D35" i="1" s="1"/>
  <c r="D72" i="1" s="1"/>
  <c r="G58" i="1"/>
  <c r="G33" i="1"/>
  <c r="F24" i="1"/>
  <c r="F25" i="1" s="1"/>
  <c r="F69" i="1" s="1"/>
  <c r="E26" i="1"/>
  <c r="E70" i="1" s="1"/>
  <c r="E31" i="1"/>
  <c r="G18" i="1"/>
  <c r="G67" i="1" s="1"/>
  <c r="G21" i="1"/>
  <c r="G22" i="1"/>
  <c r="G23" i="1"/>
  <c r="F26" i="1" l="1"/>
  <c r="F70" i="1" s="1"/>
  <c r="F27" i="1"/>
  <c r="H34" i="1"/>
  <c r="I17" i="1"/>
  <c r="H18" i="1"/>
  <c r="H67" i="1" s="1"/>
  <c r="H21" i="1"/>
  <c r="H33" i="1"/>
  <c r="H22" i="1"/>
  <c r="H23" i="1"/>
  <c r="H58" i="1"/>
  <c r="D55" i="1"/>
  <c r="D37" i="1"/>
  <c r="D74" i="1" s="1"/>
  <c r="D38" i="1"/>
  <c r="D75" i="1" s="1"/>
  <c r="F31" i="1"/>
  <c r="E32" i="1"/>
  <c r="E35" i="1" s="1"/>
  <c r="E72" i="1" s="1"/>
  <c r="G24" i="1"/>
  <c r="G25" i="1" s="1"/>
  <c r="G27" i="1" l="1"/>
  <c r="G69" i="1"/>
  <c r="H24" i="1"/>
  <c r="H25" i="1" s="1"/>
  <c r="H69" i="1" s="1"/>
  <c r="E55" i="1"/>
  <c r="E37" i="1"/>
  <c r="E74" i="1" s="1"/>
  <c r="E38" i="1"/>
  <c r="E75" i="1" s="1"/>
  <c r="F32" i="1"/>
  <c r="F35" i="1" s="1"/>
  <c r="F72" i="1" s="1"/>
  <c r="G26" i="1"/>
  <c r="G70" i="1" s="1"/>
  <c r="G31" i="1"/>
  <c r="C44" i="1" l="1"/>
  <c r="H27" i="1"/>
  <c r="H26" i="1"/>
  <c r="H70" i="1" s="1"/>
  <c r="H31" i="1"/>
  <c r="H32" i="1" s="1"/>
  <c r="H35" i="1" s="1"/>
  <c r="I25" i="1"/>
  <c r="F55" i="1"/>
  <c r="F37" i="1"/>
  <c r="F74" i="1" s="1"/>
  <c r="F38" i="1"/>
  <c r="F75" i="1" s="1"/>
  <c r="G32" i="1"/>
  <c r="G35" i="1" s="1"/>
  <c r="G72" i="1" s="1"/>
  <c r="I35" i="1" l="1"/>
  <c r="H72" i="1"/>
  <c r="G55" i="1"/>
  <c r="H55" i="1"/>
  <c r="C43" i="1"/>
  <c r="C46" i="1" s="1"/>
  <c r="H37" i="1"/>
  <c r="H74" i="1" s="1"/>
  <c r="H38" i="1"/>
  <c r="H75" i="1" s="1"/>
  <c r="G37" i="1"/>
  <c r="G74" i="1" s="1"/>
  <c r="G38" i="1"/>
  <c r="G75" i="1" s="1"/>
  <c r="D36" i="1" l="1"/>
  <c r="D73" i="1" s="1"/>
  <c r="E36" i="1"/>
  <c r="E73" i="1" s="1"/>
  <c r="F36" i="1"/>
  <c r="F73" i="1" s="1"/>
  <c r="H36" i="1"/>
  <c r="H73" i="1" s="1"/>
  <c r="G36" i="1"/>
  <c r="G73" i="1" s="1"/>
  <c r="C56" i="1"/>
  <c r="N23" i="1" s="1"/>
  <c r="N29" i="1" s="1"/>
  <c r="N20" i="1"/>
  <c r="N26" i="1" s="1"/>
  <c r="C36" i="1"/>
  <c r="C73" i="1" s="1"/>
  <c r="C45" i="1"/>
  <c r="C49" i="1"/>
  <c r="C51" i="1" s="1"/>
  <c r="C53" i="1" l="1"/>
  <c r="N22" i="1" s="1"/>
  <c r="N28" i="1" s="1"/>
  <c r="N21" i="1"/>
  <c r="N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<sst xmlns="http://schemas.openxmlformats.org/spreadsheetml/2006/main" count="121" uniqueCount="75">
  <si>
    <t>Year</t>
  </si>
  <si>
    <t>Revenue:</t>
  </si>
  <si>
    <t>Issuer</t>
  </si>
  <si>
    <t>Trading</t>
  </si>
  <si>
    <t>Information</t>
  </si>
  <si>
    <t>Technology</t>
  </si>
  <si>
    <t>Growth %</t>
  </si>
  <si>
    <t>Operating Expenses:</t>
  </si>
  <si>
    <t>Compensation</t>
  </si>
  <si>
    <t>G&amp;A</t>
  </si>
  <si>
    <t>Total Operating Expenses:</t>
  </si>
  <si>
    <t>EBITDA</t>
  </si>
  <si>
    <t>Margin</t>
  </si>
  <si>
    <t>Margin %</t>
  </si>
  <si>
    <t>Cash Flow</t>
  </si>
  <si>
    <t>Taxes</t>
  </si>
  <si>
    <t>Capex</t>
  </si>
  <si>
    <t>NWC</t>
  </si>
  <si>
    <t>FCF</t>
  </si>
  <si>
    <t>D&amp;A</t>
  </si>
  <si>
    <t>Yield</t>
  </si>
  <si>
    <t>Conversion</t>
  </si>
  <si>
    <t>Growth</t>
  </si>
  <si>
    <t>Assumptions</t>
  </si>
  <si>
    <t>Case</t>
  </si>
  <si>
    <t>Item</t>
  </si>
  <si>
    <t>Base</t>
  </si>
  <si>
    <t>Upside</t>
  </si>
  <si>
    <t>Downside</t>
  </si>
  <si>
    <t>WYTNB</t>
  </si>
  <si>
    <t>Multiple</t>
  </si>
  <si>
    <t>Tech</t>
  </si>
  <si>
    <t>Discount Rate</t>
  </si>
  <si>
    <t>Exit Multiple</t>
  </si>
  <si>
    <t>x</t>
  </si>
  <si>
    <t>PV FCF</t>
  </si>
  <si>
    <t>PV Terminal Value</t>
  </si>
  <si>
    <t>% of Enterprise Value</t>
  </si>
  <si>
    <t>Enterprise Value</t>
  </si>
  <si>
    <t>Debt</t>
  </si>
  <si>
    <t>Cash</t>
  </si>
  <si>
    <t>Equity Value</t>
  </si>
  <si>
    <t>S/O</t>
  </si>
  <si>
    <t>Current Price</t>
  </si>
  <si>
    <t xml:space="preserve">                              </t>
  </si>
  <si>
    <t>Upside / Downside</t>
  </si>
  <si>
    <t>Company</t>
  </si>
  <si>
    <t>EV / EBITDA</t>
  </si>
  <si>
    <t>ASX</t>
  </si>
  <si>
    <t>Bolsa</t>
  </si>
  <si>
    <t>CME</t>
  </si>
  <si>
    <t>Deutche</t>
  </si>
  <si>
    <t>Hellenic</t>
  </si>
  <si>
    <t>Kong Kong</t>
  </si>
  <si>
    <t>Internconintenal</t>
  </si>
  <si>
    <t>London Stock</t>
  </si>
  <si>
    <t>Nasdaq</t>
  </si>
  <si>
    <t>Sinagapre</t>
  </si>
  <si>
    <t>Median</t>
  </si>
  <si>
    <t>TMX</t>
  </si>
  <si>
    <t>TEV</t>
  </si>
  <si>
    <t>Share Price</t>
  </si>
  <si>
    <t>IRR</t>
  </si>
  <si>
    <t>Sens</t>
  </si>
  <si>
    <t>Variable</t>
  </si>
  <si>
    <t>Step</t>
  </si>
  <si>
    <t>Total Revneue:</t>
  </si>
  <si>
    <t>CAGR</t>
  </si>
  <si>
    <t>13-18</t>
  </si>
  <si>
    <t>Implied Share Price</t>
  </si>
  <si>
    <t>Capitalization</t>
  </si>
  <si>
    <t>Impact</t>
  </si>
  <si>
    <t>Financials</t>
  </si>
  <si>
    <t>Revenue</t>
  </si>
  <si>
    <t>12.0x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</si>
</sst>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yyyy"/>
    <numFmt numFmtId="166" formatCode="0.0%"/>
    <numFmt numFmtId="168" formatCode="_(* #,##0_);_(* \(#,##0\);_(* &quot;-&quot;??_);_(@_)"/>
    <numFmt numFmtId="171" formatCode="0.0\x"/>
    <numFmt numFmtId="17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sz val="11"/>
      <color theme="1"/>
      <name val="Playbill"/>
      <family val="5"/>
    </font>
    <font>
      <b/>
      <sz val="11"/>
      <color theme="0"/>
      <name val="Arial"/>
      <family val="2"/>
    </font>
    <font>
      <b/>
      <sz val="11"/>
      <color theme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0000FF"/>
      <name val="Arial"/>
      <family val="2"/>
    </font>
    <font>
      <b/>
      <u val="singleAccounting"/>
      <sz val="11"/>
      <color theme="0"/>
      <name val="Arial"/>
      <family val="2"/>
    </font>
    <font>
      <i/>
      <sz val="11"/>
      <color theme="1"/>
      <name val="Arial"/>
      <family val="2"/>
    </font>
    <font>
      <i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2" fillId="3" borderId="5" xfId="0" applyFont="1" applyFill="1" applyBorder="1"/>
    <xf numFmtId="171" fontId="0" fillId="0" borderId="0" xfId="0" applyNumberFormat="1" applyAlignment="1">
      <alignment horizontal="center"/>
    </xf>
    <xf numFmtId="171" fontId="2" fillId="3" borderId="5" xfId="0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0" borderId="1" xfId="0" applyFont="1" applyBorder="1"/>
    <xf numFmtId="0" fontId="8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3" xfId="0" applyFont="1" applyBorder="1"/>
    <xf numFmtId="166" fontId="7" fillId="0" borderId="3" xfId="3" applyNumberFormat="1" applyFont="1" applyBorder="1"/>
    <xf numFmtId="9" fontId="7" fillId="0" borderId="3" xfId="0" applyNumberFormat="1" applyFont="1" applyBorder="1"/>
    <xf numFmtId="9" fontId="10" fillId="0" borderId="3" xfId="0" applyNumberFormat="1" applyFont="1" applyBorder="1"/>
    <xf numFmtId="0" fontId="10" fillId="0" borderId="3" xfId="0" applyFont="1" applyBorder="1"/>
    <xf numFmtId="1" fontId="7" fillId="0" borderId="3" xfId="0" applyNumberFormat="1" applyFont="1" applyBorder="1"/>
    <xf numFmtId="166" fontId="7" fillId="0" borderId="0" xfId="3" applyNumberFormat="1" applyFont="1" applyFill="1" applyBorder="1" applyAlignment="1">
      <alignment horizontal="center"/>
    </xf>
    <xf numFmtId="166" fontId="7" fillId="0" borderId="0" xfId="3" applyNumberFormat="1" applyFont="1"/>
    <xf numFmtId="9" fontId="7" fillId="0" borderId="0" xfId="0" applyNumberFormat="1" applyFont="1"/>
    <xf numFmtId="9" fontId="10" fillId="0" borderId="0" xfId="0" applyNumberFormat="1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7" fillId="0" borderId="0" xfId="0" applyFont="1" applyBorder="1"/>
    <xf numFmtId="0" fontId="7" fillId="0" borderId="3" xfId="0" applyFont="1" applyFill="1" applyBorder="1"/>
    <xf numFmtId="166" fontId="7" fillId="0" borderId="3" xfId="0" applyNumberFormat="1" applyFont="1" applyBorder="1"/>
    <xf numFmtId="0" fontId="7" fillId="0" borderId="0" xfId="0" applyFont="1" applyFill="1" applyBorder="1"/>
    <xf numFmtId="166" fontId="7" fillId="0" borderId="0" xfId="0" applyNumberFormat="1" applyFont="1"/>
    <xf numFmtId="10" fontId="7" fillId="0" borderId="3" xfId="0" applyNumberFormat="1" applyFont="1" applyBorder="1"/>
    <xf numFmtId="10" fontId="7" fillId="0" borderId="0" xfId="0" applyNumberFormat="1" applyFont="1"/>
    <xf numFmtId="168" fontId="8" fillId="4" borderId="4" xfId="1" applyNumberFormat="1" applyFont="1" applyFill="1" applyBorder="1"/>
    <xf numFmtId="0" fontId="7" fillId="0" borderId="2" xfId="0" applyFont="1" applyFill="1" applyBorder="1"/>
    <xf numFmtId="166" fontId="7" fillId="0" borderId="2" xfId="3" applyNumberFormat="1" applyFont="1" applyBorder="1"/>
    <xf numFmtId="9" fontId="7" fillId="0" borderId="2" xfId="0" applyNumberFormat="1" applyFont="1" applyBorder="1"/>
    <xf numFmtId="10" fontId="7" fillId="0" borderId="2" xfId="0" applyNumberFormat="1" applyFont="1" applyBorder="1"/>
    <xf numFmtId="166" fontId="7" fillId="0" borderId="2" xfId="0" applyNumberFormat="1" applyFont="1" applyBorder="1"/>
    <xf numFmtId="9" fontId="10" fillId="0" borderId="2" xfId="0" applyNumberFormat="1" applyFont="1" applyBorder="1"/>
    <xf numFmtId="9" fontId="7" fillId="0" borderId="0" xfId="3" applyNumberFormat="1" applyFont="1"/>
    <xf numFmtId="166" fontId="10" fillId="0" borderId="0" xfId="3" applyNumberFormat="1" applyFont="1"/>
    <xf numFmtId="171" fontId="7" fillId="0" borderId="2" xfId="0" applyNumberFormat="1" applyFont="1" applyBorder="1"/>
    <xf numFmtId="171" fontId="7" fillId="0" borderId="2" xfId="1" applyNumberFormat="1" applyFont="1" applyBorder="1"/>
    <xf numFmtId="171" fontId="10" fillId="0" borderId="2" xfId="0" applyNumberFormat="1" applyFont="1" applyBorder="1"/>
    <xf numFmtId="0" fontId="8" fillId="0" borderId="0" xfId="0" applyFont="1" applyAlignment="1">
      <alignment horizontal="left"/>
    </xf>
    <xf numFmtId="168" fontId="7" fillId="0" borderId="0" xfId="0" applyNumberFormat="1" applyFont="1"/>
    <xf numFmtId="168" fontId="7" fillId="0" borderId="3" xfId="1" applyNumberFormat="1" applyFont="1" applyBorder="1"/>
    <xf numFmtId="44" fontId="7" fillId="0" borderId="0" xfId="0" applyNumberFormat="1" applyFont="1"/>
    <xf numFmtId="0" fontId="7" fillId="0" borderId="0" xfId="0" applyFont="1" applyAlignment="1">
      <alignment horizontal="left"/>
    </xf>
    <xf numFmtId="168" fontId="7" fillId="0" borderId="0" xfId="1" applyNumberFormat="1" applyFont="1"/>
    <xf numFmtId="0" fontId="8" fillId="5" borderId="3" xfId="0" applyFont="1" applyFill="1" applyBorder="1" applyAlignment="1">
      <alignment horizontal="left"/>
    </xf>
    <xf numFmtId="168" fontId="8" fillId="5" borderId="3" xfId="1" applyNumberFormat="1" applyFont="1" applyFill="1" applyBorder="1"/>
    <xf numFmtId="0" fontId="8" fillId="3" borderId="4" xfId="0" applyFont="1" applyFill="1" applyBorder="1"/>
    <xf numFmtId="168" fontId="8" fillId="3" borderId="4" xfId="1" applyNumberFormat="1" applyFont="1" applyFill="1" applyBorder="1"/>
    <xf numFmtId="0" fontId="8" fillId="0" borderId="2" xfId="0" applyFont="1" applyBorder="1"/>
    <xf numFmtId="168" fontId="8" fillId="0" borderId="2" xfId="1" applyNumberFormat="1" applyFont="1" applyBorder="1"/>
    <xf numFmtId="0" fontId="11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center"/>
    </xf>
    <xf numFmtId="43" fontId="7" fillId="0" borderId="0" xfId="1" applyFont="1"/>
    <xf numFmtId="0" fontId="8" fillId="4" borderId="4" xfId="0" applyFont="1" applyFill="1" applyBorder="1"/>
    <xf numFmtId="0" fontId="8" fillId="4" borderId="3" xfId="0" applyFont="1" applyFill="1" applyBorder="1" applyAlignment="1">
      <alignment horizontal="left"/>
    </xf>
    <xf numFmtId="171" fontId="7" fillId="0" borderId="0" xfId="1" applyNumberFormat="1" applyFont="1"/>
    <xf numFmtId="168" fontId="10" fillId="0" borderId="0" xfId="1" applyNumberFormat="1" applyFont="1"/>
    <xf numFmtId="44" fontId="8" fillId="4" borderId="3" xfId="2" applyFont="1" applyFill="1" applyBorder="1"/>
    <xf numFmtId="166" fontId="8" fillId="4" borderId="3" xfId="3" applyNumberFormat="1" applyFont="1" applyFill="1" applyBorder="1"/>
    <xf numFmtId="43" fontId="7" fillId="0" borderId="0" xfId="0" applyNumberFormat="1" applyFont="1"/>
    <xf numFmtId="0" fontId="8" fillId="4" borderId="5" xfId="0" applyFont="1" applyFill="1" applyBorder="1"/>
    <xf numFmtId="168" fontId="8" fillId="4" borderId="5" xfId="0" applyNumberFormat="1" applyFont="1" applyFill="1" applyBorder="1"/>
    <xf numFmtId="0" fontId="8" fillId="3" borderId="5" xfId="0" applyFont="1" applyFill="1" applyBorder="1"/>
    <xf numFmtId="168" fontId="8" fillId="3" borderId="5" xfId="1" applyNumberFormat="1" applyFont="1" applyFill="1" applyBorder="1"/>
    <xf numFmtId="168" fontId="8" fillId="0" borderId="0" xfId="0" applyNumberFormat="1" applyFont="1"/>
    <xf numFmtId="168" fontId="8" fillId="0" borderId="0" xfId="1" applyNumberFormat="1" applyFont="1"/>
    <xf numFmtId="0" fontId="12" fillId="0" borderId="0" xfId="0" applyFont="1" applyAlignment="1">
      <alignment horizontal="left" indent="1"/>
    </xf>
    <xf numFmtId="166" fontId="12" fillId="0" borderId="0" xfId="3" applyNumberFormat="1" applyFont="1"/>
    <xf numFmtId="0" fontId="12" fillId="0" borderId="0" xfId="0" applyFont="1"/>
    <xf numFmtId="0" fontId="13" fillId="0" borderId="0" xfId="0" applyFont="1"/>
    <xf numFmtId="9" fontId="12" fillId="0" borderId="0" xfId="3" applyFont="1"/>
    <xf numFmtId="0" fontId="12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76" fontId="8" fillId="4" borderId="3" xfId="2" applyNumberFormat="1" applyFont="1" applyFill="1" applyBorder="1"/>
    <xf numFmtId="10" fontId="0" fillId="0" borderId="0" xfId="3" applyNumberFormat="1" applyFont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Revenue: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Sheet1!$C$8:$H$8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A50-4340-99D0-35962C8461B4}"/>
            </c:ext>
          </c:extLst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Issuer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Sheet1!$C$9:$H$9</c:f>
              <c:numCache>
                <c:formatCode>0</c:formatCode>
                <c:ptCount val="6"/>
                <c:pt idx="0" formatCode="General">
                  <c:v>189</c:v>
                </c:pt>
                <c:pt idx="1">
                  <c:v>194.67000000000002</c:v>
                </c:pt>
                <c:pt idx="2">
                  <c:v>200.51010000000002</c:v>
                </c:pt>
                <c:pt idx="3">
                  <c:v>206.52540300000004</c:v>
                </c:pt>
                <c:pt idx="4">
                  <c:v>212.72116509000006</c:v>
                </c:pt>
                <c:pt idx="5">
                  <c:v>219.10280004270007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340-99D0-35962C8461B4}"/>
            </c:ext>
          </c:extLst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Sheet1!$C$10:$H$10</c:f>
              <c:numCache>
                <c:formatCode>0.0%</c:formatCode>
                <c:ptCount val="6"/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340-99D0-35962C8461B4}"/>
            </c:ext>
          </c:extLst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Trading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Sheet1!$C$11:$H$11</c:f>
              <c:numCache>
                <c:formatCode>0</c:formatCode>
                <c:ptCount val="6"/>
                <c:pt idx="0" formatCode="General">
                  <c:v>303</c:v>
                </c:pt>
                <c:pt idx="1">
                  <c:v>312.09000000000003</c:v>
                </c:pt>
                <c:pt idx="2">
                  <c:v>321.45270000000005</c:v>
                </c:pt>
                <c:pt idx="3">
                  <c:v>331.09628100000003</c:v>
                </c:pt>
                <c:pt idx="4">
                  <c:v>341.02916943000002</c:v>
                </c:pt>
                <c:pt idx="5">
                  <c:v>351.26004451290004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340-99D0-35962C8461B4}"/>
            </c:ext>
          </c:extLst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Sheet1!$C$12:$H$12</c:f>
              <c:numCache>
                <c:formatCode>0.0%</c:formatCode>
                <c:ptCount val="6"/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340-99D0-35962C8461B4}"/>
            </c:ext>
          </c:extLst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Information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Sheet1!$C$13:$H$13</c:f>
              <c:numCache>
                <c:formatCode>0</c:formatCode>
                <c:ptCount val="6"/>
                <c:pt idx="0" formatCode="General">
                  <c:v>182</c:v>
                </c:pt>
                <c:pt idx="1">
                  <c:v>192.92000000000002</c:v>
                </c:pt>
                <c:pt idx="2">
                  <c:v>204.49520000000004</c:v>
                </c:pt>
                <c:pt idx="3">
                  <c:v>216.76491200000007</c:v>
                </c:pt>
                <c:pt idx="4">
                  <c:v>229.77080672000008</c:v>
                </c:pt>
                <c:pt idx="5">
                  <c:v>243.55705512320009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340-99D0-35962C8461B4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Sheet1!$C$14:$H$14</c:f>
              <c:numCache>
                <c:formatCode>0.0%</c:formatCode>
                <c:ptCount val="6"/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340-99D0-35962C8461B4}"/>
            </c:ext>
          </c:extLst>
        </c:ser>
        <c:ser>
          <c:idx val="8"/>
          <c:order val="8"/>
          <c:tx>
            <c:strRef>
              <c:f>Sheet1!$B$15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Sheet1!$C$15:$H$15</c:f>
              <c:numCache>
                <c:formatCode>0</c:formatCode>
                <c:ptCount val="6"/>
                <c:pt idx="0" formatCode="General">
                  <c:v>27</c:v>
                </c:pt>
                <c:pt idx="1">
                  <c:v>27.810000000000002</c:v>
                </c:pt>
                <c:pt idx="2">
                  <c:v>28.644300000000005</c:v>
                </c:pt>
                <c:pt idx="3">
                  <c:v>29.503629000000007</c:v>
                </c:pt>
                <c:pt idx="4">
                  <c:v>30.388737870000007</c:v>
                </c:pt>
                <c:pt idx="5">
                  <c:v>31.300400006100009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340-99D0-35962C8461B4}"/>
            </c:ext>
          </c:extLst>
        </c:ser>
        <c:ser>
          <c:idx val="9"/>
          <c:order val="9"/>
          <c:tx>
            <c:strRef>
              <c:f>Sheet1!$B$16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Sheet1!$C$16:$H$16</c:f>
              <c:numCache>
                <c:formatCode>0.0%</c:formatCode>
                <c:ptCount val="6"/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340-99D0-35962C8461B4}"/>
            </c:ext>
          </c:extLst>
        </c:ser>
        <c:ser>
          <c:idx val="11"/>
          <c:order val="10"/>
          <c:tx>
            <c:strRef>
              <c:f>Sheet1!$B$18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Sheet1!$C$6:$H$6</c:f>
              <c:numCache>
                <c:formatCode>yyyy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42734</c:v>
                </c:pt>
                <c:pt idx="4">
                  <c:v>43099</c:v>
                </c:pt>
                <c:pt idx="5">
                  <c:v>43464</c:v>
                </c:pt>
              </c:numCache>
            </c:numRef>
          </c:cat>
          <c:val>
            <c:numRef>
              <c:f>Sheet1!$C$18:$H$18</c:f>
              <c:numCache>
                <c:formatCode>0.0%</c:formatCode>
                <c:ptCount val="6"/>
                <c:pt idx="0">
                  <c:v>4.1604754829123403E-2</c:v>
                </c:pt>
                <c:pt idx="1">
                  <c:v>3.8002853067046871E-2</c:v>
                </c:pt>
                <c:pt idx="2">
                  <c:v>3.7947748886812516E-2</c:v>
                </c:pt>
                <c:pt idx="3">
                  <c:v>3.8116964357473693E-2</c:v>
                </c:pt>
                <c:pt idx="4">
                  <c:v>3.8288410661583061E-2</c:v>
                </c:pt>
                <c:pt idx="5">
                  <c:v>3.8462060811953025E-2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50-4340-99D0-35962C846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86704"/>
        <c:axId val="32094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Sheet1!$C$6:$H$6</c15:sqref>
                        </c15:formulaRef>
                      </c:ext>
                    </c:extLst>
                    <c:numCache>
                      <c:formatCode>yyyy</c:formatCode>
                      <c:ptCount val="6"/>
                      <c:pt idx="0">
                        <c:v>41639</c:v>
                      </c:pt>
                      <c:pt idx="1">
                        <c:v>42004</c:v>
                      </c:pt>
                      <c:pt idx="2">
                        <c:v>42369</c:v>
                      </c:pt>
                      <c:pt idx="3">
                        <c:v>42734</c:v>
                      </c:pt>
                      <c:pt idx="4">
                        <c:v>43099</c:v>
                      </c:pt>
                      <c:pt idx="5">
                        <c:v>43464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Sheet1!$C$7:$H$7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50-4340-99D0-35962C8461B4}"/>
                  </c:ext>
                </c:extLst>
              </c15:ser>
            </c15:filteredBarSeries>
          </c:ext>
        </c:extLst>
      </c:barChart>
      <c:dateAx>
        <c:axId val="3208670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94864"/>
        <c:crosses val="autoZero"/>
        <c:auto val="1"/>
        <c:lblOffset val="100"/>
        <c:baseTimeUnit val="years"/>
      </c:dateAx>
      <c:valAx>
        <c:axId val="3209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8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25126727909011376"/>
          <c:y val="0.88367891513560803"/>
          <c:w val="0.58642262527537514"/>
          <c:h val="7.1510941159983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6B6E8625-0AF0-4B72-BDFD-FCBC1A32812B}">
          <cx:spPr>
            <a:solidFill>
              <a:schemeClr val="accent5">
                <a:lumMod val="75000"/>
              </a:schemeClr>
            </a:solidFill>
          </cx:spPr>
          <cx:dataPt idx="4">
            <cx:spPr>
              <a:solidFill>
                <a:srgbClr val="5B9BD5">
                  <a:lumMod val="50000"/>
                </a:srgbClr>
              </a:solidFill>
            </cx:spPr>
          </cx:dataPt>
          <cx:dataLabels pos="outEnd"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endParaRPr lang="en-U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101957</xdr:colOff>
      <xdr:row>31</xdr:row>
      <xdr:rowOff>1252</xdr:rowOff>
    </xdr:from>
    <xdr:to>
      <xdr:col>25</xdr:col>
      <xdr:colOff>416774</xdr:colOff>
      <xdr:row>47</xdr:row>
      <xdr:rowOff>79240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4E3D6E-7982-6926-893A-78749DCEB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468647</xdr:colOff>
      <xdr:row>51</xdr:row>
      <xdr:rowOff>45970</xdr:rowOff>
    </xdr:from>
    <xdr:to>
      <xdr:col>25</xdr:col>
      <xdr:colOff>175294</xdr:colOff>
      <xdr:row>65</xdr:row>
      <xdr:rowOff>159733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675517B-759C-5C78-A77D-C45849C510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64562" y="930266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H75"/>
  <sheetViews>
    <sheetView showGridLines="0" tabSelected="1" topLeftCell="E1" zoomScale="62" workbookViewId="0">
      <selection activeCell="AC43" sqref="AC43"/>
    </sheetView>
  </sheetViews>
  <sheetFormatPr defaultRowHeight="14" x14ac:dyDescent="0.3"/>
  <cols>
    <col min="1" max="1" width="2.6328125" style="11" customWidth="1"/>
    <col min="2" max="2" width="25.6328125" style="11" customWidth="1"/>
    <col min="3" max="3" width="10.6328125" style="11" customWidth="1"/>
    <col min="4" max="4" width="8.6328125" style="11" customWidth="1"/>
    <col min="5" max="12" width="8.7265625" style="11"/>
    <col min="13" max="13" width="25.6328125" style="11" customWidth="1"/>
    <col min="14" max="16384" width="8.7265625" style="11"/>
  </cols>
  <sheetData>
    <row r="4" spans="1:34" x14ac:dyDescent="0.3">
      <c r="A4" s="11" t="s">
        <v>34</v>
      </c>
      <c r="B4" s="9" t="s">
        <v>72</v>
      </c>
      <c r="C4" s="10"/>
      <c r="D4" s="10"/>
      <c r="E4" s="10"/>
      <c r="F4" s="10"/>
      <c r="G4" s="10"/>
      <c r="H4" s="10"/>
      <c r="I4" s="10"/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3">
      <c r="N5" s="12" t="s">
        <v>24</v>
      </c>
    </row>
    <row r="6" spans="1:34" ht="17" x14ac:dyDescent="0.6">
      <c r="B6" s="13" t="s">
        <v>0</v>
      </c>
      <c r="C6" s="14">
        <v>41639</v>
      </c>
      <c r="D6" s="14">
        <f>C6+365</f>
        <v>42004</v>
      </c>
      <c r="E6" s="14">
        <f t="shared" ref="E6:H6" si="0">D6+365</f>
        <v>42369</v>
      </c>
      <c r="F6" s="14">
        <f t="shared" si="0"/>
        <v>42734</v>
      </c>
      <c r="G6" s="14">
        <f t="shared" si="0"/>
        <v>43099</v>
      </c>
      <c r="H6" s="14">
        <f t="shared" si="0"/>
        <v>43464</v>
      </c>
      <c r="I6" s="12" t="s">
        <v>67</v>
      </c>
      <c r="N6" s="15">
        <v>1</v>
      </c>
    </row>
    <row r="7" spans="1:34" x14ac:dyDescent="0.3">
      <c r="I7" s="16" t="s">
        <v>68</v>
      </c>
      <c r="M7" s="17" t="s">
        <v>25</v>
      </c>
      <c r="N7" s="18" t="str">
        <f ca="1">OFFSET(N7,,$N$6)</f>
        <v>Base</v>
      </c>
      <c r="O7" s="18" t="s">
        <v>26</v>
      </c>
      <c r="P7" s="18" t="s">
        <v>27</v>
      </c>
      <c r="Q7" s="18" t="s">
        <v>28</v>
      </c>
      <c r="R7" s="18" t="s">
        <v>29</v>
      </c>
      <c r="S7" s="18" t="s">
        <v>20</v>
      </c>
      <c r="T7" s="18" t="s">
        <v>22</v>
      </c>
      <c r="U7" s="18" t="s">
        <v>12</v>
      </c>
      <c r="V7" s="18" t="s">
        <v>30</v>
      </c>
      <c r="W7" s="18" t="s">
        <v>63</v>
      </c>
    </row>
    <row r="8" spans="1:34" x14ac:dyDescent="0.3">
      <c r="B8" s="17" t="s">
        <v>1</v>
      </c>
      <c r="M8" s="19" t="s">
        <v>2</v>
      </c>
      <c r="N8" s="20">
        <f t="shared" ref="N8:N13" ca="1" si="1">OFFSET(N8,,$N$6)</f>
        <v>0.03</v>
      </c>
      <c r="O8" s="21">
        <v>0.03</v>
      </c>
      <c r="P8" s="21">
        <v>0.04</v>
      </c>
      <c r="Q8" s="21">
        <v>0.02</v>
      </c>
      <c r="R8" s="21">
        <v>0.06</v>
      </c>
      <c r="S8" s="21">
        <v>0</v>
      </c>
      <c r="T8" s="21">
        <f>O8</f>
        <v>0.03</v>
      </c>
      <c r="U8" s="21">
        <f>T8</f>
        <v>0.03</v>
      </c>
      <c r="V8" s="21">
        <f>U8</f>
        <v>0.03</v>
      </c>
      <c r="W8" s="22">
        <v>0.05</v>
      </c>
      <c r="X8" s="21">
        <f t="shared" ref="X8:AH8" si="2">$O8</f>
        <v>0.03</v>
      </c>
      <c r="Y8" s="21">
        <f t="shared" si="2"/>
        <v>0.03</v>
      </c>
      <c r="Z8" s="21">
        <f t="shared" si="2"/>
        <v>0.03</v>
      </c>
      <c r="AA8" s="21">
        <f t="shared" si="2"/>
        <v>0.03</v>
      </c>
      <c r="AB8" s="21">
        <f t="shared" si="2"/>
        <v>0.03</v>
      </c>
      <c r="AC8" s="21">
        <f t="shared" si="2"/>
        <v>0.03</v>
      </c>
      <c r="AD8" s="21">
        <f t="shared" si="2"/>
        <v>0.03</v>
      </c>
      <c r="AE8" s="21">
        <f t="shared" si="2"/>
        <v>0.03</v>
      </c>
      <c r="AF8" s="20">
        <f t="shared" si="2"/>
        <v>0.03</v>
      </c>
      <c r="AG8" s="20">
        <f t="shared" si="2"/>
        <v>0.03</v>
      </c>
      <c r="AH8" s="20">
        <f t="shared" si="2"/>
        <v>0.03</v>
      </c>
    </row>
    <row r="9" spans="1:34" x14ac:dyDescent="0.3">
      <c r="B9" s="19" t="s">
        <v>2</v>
      </c>
      <c r="C9" s="23">
        <v>189</v>
      </c>
      <c r="D9" s="24">
        <f ca="1">C9*(1+D10)</f>
        <v>194.67000000000002</v>
      </c>
      <c r="E9" s="24">
        <f t="shared" ref="E9:H9" ca="1" si="3">D9*(1+E10)</f>
        <v>200.51010000000002</v>
      </c>
      <c r="F9" s="24">
        <f t="shared" ca="1" si="3"/>
        <v>206.52540300000004</v>
      </c>
      <c r="G9" s="24">
        <f t="shared" ca="1" si="3"/>
        <v>212.72116509000006</v>
      </c>
      <c r="H9" s="24">
        <f t="shared" ca="1" si="3"/>
        <v>219.10280004270007</v>
      </c>
      <c r="I9" s="25">
        <f ca="1">_xlfn.RRI(5,C9,H9)</f>
        <v>3.0000000000000027E-2</v>
      </c>
      <c r="M9" s="11" t="s">
        <v>3</v>
      </c>
      <c r="N9" s="26">
        <f t="shared" ca="1" si="1"/>
        <v>0.03</v>
      </c>
      <c r="O9" s="27">
        <v>0.03</v>
      </c>
      <c r="P9" s="27">
        <v>0.04</v>
      </c>
      <c r="Q9" s="27">
        <v>0.02</v>
      </c>
      <c r="R9" s="27">
        <v>0.06</v>
      </c>
      <c r="S9" s="27">
        <v>0</v>
      </c>
      <c r="T9" s="27">
        <f t="shared" ref="T9:T11" si="4">O9</f>
        <v>0.03</v>
      </c>
      <c r="U9" s="27">
        <f t="shared" ref="U9:V11" si="5">T9</f>
        <v>0.03</v>
      </c>
      <c r="V9" s="27">
        <f t="shared" si="5"/>
        <v>0.03</v>
      </c>
      <c r="W9" s="27">
        <f t="shared" ref="W9:AH19" si="6">$O9</f>
        <v>0.03</v>
      </c>
      <c r="X9" s="28">
        <v>0.05</v>
      </c>
      <c r="Y9" s="27">
        <f t="shared" si="6"/>
        <v>0.03</v>
      </c>
      <c r="Z9" s="27">
        <f t="shared" si="6"/>
        <v>0.03</v>
      </c>
      <c r="AA9" s="27">
        <f t="shared" si="6"/>
        <v>0.03</v>
      </c>
      <c r="AB9" s="27">
        <f t="shared" si="6"/>
        <v>0.03</v>
      </c>
      <c r="AC9" s="27">
        <f t="shared" si="6"/>
        <v>0.03</v>
      </c>
      <c r="AD9" s="27">
        <f t="shared" si="6"/>
        <v>0.03</v>
      </c>
      <c r="AE9" s="27">
        <f t="shared" si="6"/>
        <v>0.03</v>
      </c>
      <c r="AF9" s="26">
        <f t="shared" si="6"/>
        <v>0.03</v>
      </c>
      <c r="AG9" s="26">
        <f t="shared" si="6"/>
        <v>0.03</v>
      </c>
      <c r="AH9" s="26">
        <f t="shared" si="6"/>
        <v>0.03</v>
      </c>
    </row>
    <row r="10" spans="1:34" ht="14.5" x14ac:dyDescent="0.35">
      <c r="B10" s="80" t="s">
        <v>6</v>
      </c>
      <c r="C10" s="83"/>
      <c r="D10" s="81">
        <f ca="1">$N$8</f>
        <v>0.03</v>
      </c>
      <c r="E10" s="81">
        <f t="shared" ref="E10:H10" ca="1" si="7">$N$8</f>
        <v>0.03</v>
      </c>
      <c r="F10" s="81">
        <f t="shared" ca="1" si="7"/>
        <v>0.03</v>
      </c>
      <c r="G10" s="81">
        <f t="shared" ca="1" si="7"/>
        <v>0.03</v>
      </c>
      <c r="H10" s="81">
        <f t="shared" ca="1" si="7"/>
        <v>0.03</v>
      </c>
      <c r="I10" s="31"/>
      <c r="M10" s="11" t="s">
        <v>4</v>
      </c>
      <c r="N10" s="26">
        <f t="shared" ca="1" si="1"/>
        <v>0.06</v>
      </c>
      <c r="O10" s="27">
        <v>0.06</v>
      </c>
      <c r="P10" s="27">
        <v>7.0000000000000007E-2</v>
      </c>
      <c r="Q10" s="27">
        <v>0.05</v>
      </c>
      <c r="R10" s="27">
        <v>0.09</v>
      </c>
      <c r="S10" s="27">
        <v>0</v>
      </c>
      <c r="T10" s="27">
        <f t="shared" si="4"/>
        <v>0.06</v>
      </c>
      <c r="U10" s="27">
        <f t="shared" si="5"/>
        <v>0.06</v>
      </c>
      <c r="V10" s="27">
        <f t="shared" si="5"/>
        <v>0.06</v>
      </c>
      <c r="W10" s="27">
        <f t="shared" si="6"/>
        <v>0.06</v>
      </c>
      <c r="X10" s="27">
        <f t="shared" si="6"/>
        <v>0.06</v>
      </c>
      <c r="Y10" s="28">
        <v>0.08</v>
      </c>
      <c r="Z10" s="27">
        <f t="shared" si="6"/>
        <v>0.06</v>
      </c>
      <c r="AA10" s="27">
        <f t="shared" si="6"/>
        <v>0.06</v>
      </c>
      <c r="AB10" s="27">
        <f t="shared" si="6"/>
        <v>0.06</v>
      </c>
      <c r="AC10" s="27">
        <f t="shared" si="6"/>
        <v>0.06</v>
      </c>
      <c r="AD10" s="27">
        <f t="shared" si="6"/>
        <v>0.06</v>
      </c>
      <c r="AE10" s="27">
        <f t="shared" si="6"/>
        <v>0.06</v>
      </c>
      <c r="AF10" s="26">
        <f t="shared" si="6"/>
        <v>0.06</v>
      </c>
      <c r="AG10" s="26">
        <f t="shared" si="6"/>
        <v>0.06</v>
      </c>
      <c r="AH10" s="26">
        <f t="shared" si="6"/>
        <v>0.06</v>
      </c>
    </row>
    <row r="11" spans="1:34" x14ac:dyDescent="0.3">
      <c r="B11" s="11" t="s">
        <v>3</v>
      </c>
      <c r="C11" s="30">
        <v>303</v>
      </c>
      <c r="D11" s="32">
        <f ca="1">C11*(1+D12)</f>
        <v>312.09000000000003</v>
      </c>
      <c r="E11" s="32">
        <f t="shared" ref="E11:H11" ca="1" si="8">D11*(1+E12)</f>
        <v>321.45270000000005</v>
      </c>
      <c r="F11" s="32">
        <f t="shared" ca="1" si="8"/>
        <v>331.09628100000003</v>
      </c>
      <c r="G11" s="32">
        <f t="shared" ca="1" si="8"/>
        <v>341.02916943000002</v>
      </c>
      <c r="H11" s="32">
        <f t="shared" ca="1" si="8"/>
        <v>351.26004451290004</v>
      </c>
      <c r="I11" s="25">
        <f ca="1">_xlfn.RRI(5,C11,H11)</f>
        <v>3.0000000000000027E-2</v>
      </c>
      <c r="M11" s="33" t="s">
        <v>31</v>
      </c>
      <c r="N11" s="26">
        <f t="shared" ca="1" si="1"/>
        <v>0.03</v>
      </c>
      <c r="O11" s="27">
        <v>0.03</v>
      </c>
      <c r="P11" s="27">
        <v>0.04</v>
      </c>
      <c r="Q11" s="27">
        <v>0.02</v>
      </c>
      <c r="R11" s="27">
        <v>0.05</v>
      </c>
      <c r="S11" s="27">
        <v>0</v>
      </c>
      <c r="T11" s="27">
        <f t="shared" si="4"/>
        <v>0.03</v>
      </c>
      <c r="U11" s="27">
        <f t="shared" si="5"/>
        <v>0.03</v>
      </c>
      <c r="V11" s="27">
        <f t="shared" si="5"/>
        <v>0.03</v>
      </c>
      <c r="W11" s="27">
        <f t="shared" si="6"/>
        <v>0.03</v>
      </c>
      <c r="X11" s="27">
        <f t="shared" si="6"/>
        <v>0.03</v>
      </c>
      <c r="Y11" s="27">
        <f t="shared" si="6"/>
        <v>0.03</v>
      </c>
      <c r="Z11" s="28">
        <v>0.05</v>
      </c>
      <c r="AA11" s="27">
        <f t="shared" si="6"/>
        <v>0.03</v>
      </c>
      <c r="AB11" s="27">
        <f t="shared" si="6"/>
        <v>0.03</v>
      </c>
      <c r="AC11" s="27">
        <f t="shared" si="6"/>
        <v>0.03</v>
      </c>
      <c r="AD11" s="27">
        <f t="shared" si="6"/>
        <v>0.03</v>
      </c>
      <c r="AE11" s="27">
        <f t="shared" si="6"/>
        <v>0.03</v>
      </c>
      <c r="AF11" s="26">
        <f t="shared" si="6"/>
        <v>0.03</v>
      </c>
      <c r="AG11" s="26">
        <f t="shared" si="6"/>
        <v>0.03</v>
      </c>
      <c r="AH11" s="26">
        <f t="shared" si="6"/>
        <v>0.03</v>
      </c>
    </row>
    <row r="12" spans="1:34" ht="14.5" x14ac:dyDescent="0.35">
      <c r="B12" s="80" t="s">
        <v>6</v>
      </c>
      <c r="C12" s="83"/>
      <c r="D12" s="81">
        <f ca="1">$N$9</f>
        <v>0.03</v>
      </c>
      <c r="E12" s="81">
        <f t="shared" ref="E12:H12" ca="1" si="9">$N$9</f>
        <v>0.03</v>
      </c>
      <c r="F12" s="81">
        <f t="shared" ca="1" si="9"/>
        <v>0.03</v>
      </c>
      <c r="G12" s="81">
        <f t="shared" ca="1" si="9"/>
        <v>0.03</v>
      </c>
      <c r="H12" s="81">
        <f t="shared" ca="1" si="9"/>
        <v>0.03</v>
      </c>
      <c r="I12" s="31"/>
      <c r="M12" s="34" t="s">
        <v>8</v>
      </c>
      <c r="N12" s="20">
        <f t="shared" ca="1" si="1"/>
        <v>0.28000000000000003</v>
      </c>
      <c r="O12" s="21">
        <v>0.28000000000000003</v>
      </c>
      <c r="P12" s="21">
        <v>0.27</v>
      </c>
      <c r="Q12" s="21">
        <f>O12</f>
        <v>0.28000000000000003</v>
      </c>
      <c r="R12" s="21">
        <f>P12</f>
        <v>0.27</v>
      </c>
      <c r="S12" s="35">
        <f>C61</f>
        <v>0.28958630527817403</v>
      </c>
      <c r="T12" s="35">
        <f>S12</f>
        <v>0.28958630527817403</v>
      </c>
      <c r="U12" s="21">
        <f>O12</f>
        <v>0.28000000000000003</v>
      </c>
      <c r="V12" s="21">
        <f t="shared" ref="V12:V19" si="10">U12</f>
        <v>0.28000000000000003</v>
      </c>
      <c r="W12" s="21">
        <f t="shared" si="6"/>
        <v>0.28000000000000003</v>
      </c>
      <c r="X12" s="21">
        <f t="shared" si="6"/>
        <v>0.28000000000000003</v>
      </c>
      <c r="Y12" s="21">
        <f t="shared" si="6"/>
        <v>0.28000000000000003</v>
      </c>
      <c r="Z12" s="21">
        <f t="shared" si="6"/>
        <v>0.28000000000000003</v>
      </c>
      <c r="AA12" s="22">
        <v>0.27</v>
      </c>
      <c r="AB12" s="21">
        <f t="shared" si="6"/>
        <v>0.28000000000000003</v>
      </c>
      <c r="AC12" s="21">
        <f t="shared" si="6"/>
        <v>0.28000000000000003</v>
      </c>
      <c r="AD12" s="21">
        <f t="shared" si="6"/>
        <v>0.28000000000000003</v>
      </c>
      <c r="AE12" s="21">
        <f t="shared" si="6"/>
        <v>0.28000000000000003</v>
      </c>
      <c r="AF12" s="20">
        <f t="shared" si="6"/>
        <v>0.28000000000000003</v>
      </c>
      <c r="AG12" s="20">
        <f t="shared" si="6"/>
        <v>0.28000000000000003</v>
      </c>
      <c r="AH12" s="20">
        <f t="shared" si="6"/>
        <v>0.28000000000000003</v>
      </c>
    </row>
    <row r="13" spans="1:34" x14ac:dyDescent="0.3">
      <c r="B13" s="11" t="s">
        <v>4</v>
      </c>
      <c r="C13" s="30">
        <v>182</v>
      </c>
      <c r="D13" s="32">
        <f ca="1">C13*(1+D14)</f>
        <v>192.92000000000002</v>
      </c>
      <c r="E13" s="32">
        <f t="shared" ref="E13:H13" ca="1" si="11">D13*(1+E14)</f>
        <v>204.49520000000004</v>
      </c>
      <c r="F13" s="32">
        <f t="shared" ca="1" si="11"/>
        <v>216.76491200000007</v>
      </c>
      <c r="G13" s="32">
        <f t="shared" ca="1" si="11"/>
        <v>229.77080672000008</v>
      </c>
      <c r="H13" s="32">
        <f t="shared" ca="1" si="11"/>
        <v>243.55705512320009</v>
      </c>
      <c r="I13" s="25">
        <f ca="1">_xlfn.RRI(5,C13,H13)</f>
        <v>6.0000000000000053E-2</v>
      </c>
      <c r="M13" s="36" t="s">
        <v>4</v>
      </c>
      <c r="N13" s="26">
        <f t="shared" ca="1" si="1"/>
        <v>0.09</v>
      </c>
      <c r="O13" s="27">
        <v>0.09</v>
      </c>
      <c r="P13" s="27">
        <v>0.09</v>
      </c>
      <c r="Q13" s="27">
        <f t="shared" ref="Q13:Q14" si="12">O13</f>
        <v>0.09</v>
      </c>
      <c r="R13" s="27">
        <f t="shared" ref="R13:R14" si="13">P13</f>
        <v>0.09</v>
      </c>
      <c r="S13" s="37">
        <f t="shared" ref="S13:S14" si="14">C62</f>
        <v>9.2724679029957208E-2</v>
      </c>
      <c r="T13" s="37">
        <f t="shared" ref="T13:T19" si="15">S13</f>
        <v>9.2724679029957208E-2</v>
      </c>
      <c r="U13" s="27">
        <f t="shared" ref="U13:U19" si="16">O13</f>
        <v>0.09</v>
      </c>
      <c r="V13" s="27">
        <f t="shared" si="10"/>
        <v>0.09</v>
      </c>
      <c r="W13" s="27">
        <f t="shared" si="6"/>
        <v>0.09</v>
      </c>
      <c r="X13" s="27">
        <f t="shared" si="6"/>
        <v>0.09</v>
      </c>
      <c r="Y13" s="27">
        <f t="shared" si="6"/>
        <v>0.09</v>
      </c>
      <c r="Z13" s="27">
        <f t="shared" si="6"/>
        <v>0.09</v>
      </c>
      <c r="AA13" s="27">
        <f t="shared" si="6"/>
        <v>0.09</v>
      </c>
      <c r="AB13" s="28">
        <v>0.08</v>
      </c>
      <c r="AC13" s="27">
        <f t="shared" si="6"/>
        <v>0.09</v>
      </c>
      <c r="AD13" s="27">
        <f t="shared" si="6"/>
        <v>0.09</v>
      </c>
      <c r="AE13" s="27">
        <f t="shared" si="6"/>
        <v>0.09</v>
      </c>
      <c r="AF13" s="26">
        <f t="shared" si="6"/>
        <v>0.09</v>
      </c>
      <c r="AG13" s="26">
        <f t="shared" si="6"/>
        <v>0.09</v>
      </c>
      <c r="AH13" s="26">
        <f t="shared" si="6"/>
        <v>0.09</v>
      </c>
    </row>
    <row r="14" spans="1:34" ht="14.5" x14ac:dyDescent="0.35">
      <c r="B14" s="80" t="s">
        <v>6</v>
      </c>
      <c r="C14" s="83"/>
      <c r="D14" s="81">
        <f ca="1">$N$10</f>
        <v>0.06</v>
      </c>
      <c r="E14" s="81">
        <f t="shared" ref="E14:H14" ca="1" si="17">$N$10</f>
        <v>0.06</v>
      </c>
      <c r="F14" s="81">
        <f t="shared" ca="1" si="17"/>
        <v>0.06</v>
      </c>
      <c r="G14" s="81">
        <f t="shared" ca="1" si="17"/>
        <v>0.06</v>
      </c>
      <c r="H14" s="81">
        <f t="shared" ca="1" si="17"/>
        <v>0.06</v>
      </c>
      <c r="I14" s="31"/>
      <c r="M14" s="36" t="s">
        <v>9</v>
      </c>
      <c r="N14" s="26">
        <f ca="1">OFFSET(N14,,$N$6)</f>
        <v>0.12</v>
      </c>
      <c r="O14" s="27">
        <v>0.12</v>
      </c>
      <c r="P14" s="27">
        <v>0.11</v>
      </c>
      <c r="Q14" s="27">
        <f t="shared" si="12"/>
        <v>0.12</v>
      </c>
      <c r="R14" s="27">
        <f t="shared" si="13"/>
        <v>0.11</v>
      </c>
      <c r="S14" s="37">
        <f t="shared" si="14"/>
        <v>0.13124108416547789</v>
      </c>
      <c r="T14" s="37">
        <f t="shared" si="15"/>
        <v>0.13124108416547789</v>
      </c>
      <c r="U14" s="27">
        <f t="shared" si="16"/>
        <v>0.12</v>
      </c>
      <c r="V14" s="27">
        <f t="shared" si="10"/>
        <v>0.12</v>
      </c>
      <c r="W14" s="27">
        <f t="shared" si="6"/>
        <v>0.12</v>
      </c>
      <c r="X14" s="27">
        <f t="shared" si="6"/>
        <v>0.12</v>
      </c>
      <c r="Y14" s="27">
        <f t="shared" si="6"/>
        <v>0.12</v>
      </c>
      <c r="Z14" s="27">
        <f t="shared" si="6"/>
        <v>0.12</v>
      </c>
      <c r="AA14" s="27">
        <f t="shared" si="6"/>
        <v>0.12</v>
      </c>
      <c r="AB14" s="27">
        <f t="shared" si="6"/>
        <v>0.12</v>
      </c>
      <c r="AC14" s="28">
        <v>0.11</v>
      </c>
      <c r="AD14" s="27">
        <f t="shared" si="6"/>
        <v>0.12</v>
      </c>
      <c r="AE14" s="27">
        <f t="shared" si="6"/>
        <v>0.12</v>
      </c>
      <c r="AF14" s="26">
        <f t="shared" si="6"/>
        <v>0.12</v>
      </c>
      <c r="AG14" s="26">
        <f t="shared" si="6"/>
        <v>0.12</v>
      </c>
      <c r="AH14" s="26">
        <f t="shared" si="6"/>
        <v>0.12</v>
      </c>
    </row>
    <row r="15" spans="1:34" x14ac:dyDescent="0.3">
      <c r="B15" s="11" t="s">
        <v>5</v>
      </c>
      <c r="C15" s="30">
        <v>27</v>
      </c>
      <c r="D15" s="32">
        <f ca="1">C15*(1+D16)</f>
        <v>27.810000000000002</v>
      </c>
      <c r="E15" s="32">
        <f t="shared" ref="E15:H15" ca="1" si="18">D15*(1+E16)</f>
        <v>28.644300000000005</v>
      </c>
      <c r="F15" s="32">
        <f t="shared" ca="1" si="18"/>
        <v>29.503629000000007</v>
      </c>
      <c r="G15" s="32">
        <f t="shared" ca="1" si="18"/>
        <v>30.388737870000007</v>
      </c>
      <c r="H15" s="32">
        <f t="shared" ca="1" si="18"/>
        <v>31.300400006100009</v>
      </c>
      <c r="I15" s="25">
        <f ca="1">_xlfn.RRI(5,C15,H15)</f>
        <v>3.0000000000000027E-2</v>
      </c>
      <c r="M15" s="34" t="s">
        <v>19</v>
      </c>
      <c r="N15" s="20">
        <f ca="1">OFFSET(N15,,$N$6)</f>
        <v>4.4999999999999998E-2</v>
      </c>
      <c r="O15" s="38">
        <v>4.4999999999999998E-2</v>
      </c>
      <c r="P15" s="38">
        <f>O15</f>
        <v>4.4999999999999998E-2</v>
      </c>
      <c r="Q15" s="38">
        <f>P15</f>
        <v>4.4999999999999998E-2</v>
      </c>
      <c r="R15" s="38">
        <f>Q15</f>
        <v>4.4999999999999998E-2</v>
      </c>
      <c r="S15" s="38">
        <f>O15</f>
        <v>4.4999999999999998E-2</v>
      </c>
      <c r="T15" s="35">
        <f t="shared" si="15"/>
        <v>4.4999999999999998E-2</v>
      </c>
      <c r="U15" s="21">
        <f t="shared" si="16"/>
        <v>4.4999999999999998E-2</v>
      </c>
      <c r="V15" s="21">
        <f t="shared" si="10"/>
        <v>4.4999999999999998E-2</v>
      </c>
      <c r="W15" s="21">
        <f t="shared" si="6"/>
        <v>4.4999999999999998E-2</v>
      </c>
      <c r="X15" s="21">
        <f t="shared" si="6"/>
        <v>4.4999999999999998E-2</v>
      </c>
      <c r="Y15" s="21">
        <f t="shared" si="6"/>
        <v>4.4999999999999998E-2</v>
      </c>
      <c r="Z15" s="21">
        <f t="shared" si="6"/>
        <v>4.4999999999999998E-2</v>
      </c>
      <c r="AA15" s="21">
        <f t="shared" si="6"/>
        <v>4.4999999999999998E-2</v>
      </c>
      <c r="AB15" s="21">
        <f t="shared" si="6"/>
        <v>4.4999999999999998E-2</v>
      </c>
      <c r="AC15" s="21">
        <f t="shared" si="6"/>
        <v>4.4999999999999998E-2</v>
      </c>
      <c r="AD15" s="22">
        <v>0.04</v>
      </c>
      <c r="AE15" s="21">
        <f t="shared" si="6"/>
        <v>4.4999999999999998E-2</v>
      </c>
      <c r="AF15" s="20">
        <f t="shared" si="6"/>
        <v>4.4999999999999998E-2</v>
      </c>
      <c r="AG15" s="20">
        <f t="shared" si="6"/>
        <v>4.4999999999999998E-2</v>
      </c>
      <c r="AH15" s="20">
        <f t="shared" si="6"/>
        <v>4.4999999999999998E-2</v>
      </c>
    </row>
    <row r="16" spans="1:34" ht="14.5" x14ac:dyDescent="0.35">
      <c r="B16" s="80" t="s">
        <v>6</v>
      </c>
      <c r="C16" s="82"/>
      <c r="D16" s="81">
        <f ca="1">$N$11</f>
        <v>0.03</v>
      </c>
      <c r="E16" s="81">
        <f t="shared" ref="E16:H16" ca="1" si="19">$N$11</f>
        <v>0.03</v>
      </c>
      <c r="F16" s="81">
        <f t="shared" ca="1" si="19"/>
        <v>0.03</v>
      </c>
      <c r="G16" s="81">
        <f t="shared" ca="1" si="19"/>
        <v>0.03</v>
      </c>
      <c r="H16" s="81">
        <f t="shared" ca="1" si="19"/>
        <v>0.03</v>
      </c>
      <c r="I16" s="31"/>
      <c r="M16" s="36" t="s">
        <v>16</v>
      </c>
      <c r="N16" s="26">
        <f t="shared" ref="N16:N19" ca="1" si="20">OFFSET(N16,,$N$6)</f>
        <v>0.05</v>
      </c>
      <c r="O16" s="27">
        <v>0.05</v>
      </c>
      <c r="P16" s="39">
        <f t="shared" ref="P16:AE19" si="21">O16</f>
        <v>0.05</v>
      </c>
      <c r="Q16" s="39">
        <f t="shared" si="21"/>
        <v>0.05</v>
      </c>
      <c r="R16" s="39">
        <f t="shared" si="21"/>
        <v>0.05</v>
      </c>
      <c r="S16" s="39">
        <f t="shared" ref="S16:S19" si="22">O16</f>
        <v>0.05</v>
      </c>
      <c r="T16" s="37">
        <f t="shared" si="15"/>
        <v>0.05</v>
      </c>
      <c r="U16" s="27">
        <f t="shared" si="16"/>
        <v>0.05</v>
      </c>
      <c r="V16" s="27">
        <f t="shared" si="10"/>
        <v>0.05</v>
      </c>
      <c r="W16" s="27">
        <f t="shared" si="6"/>
        <v>0.05</v>
      </c>
      <c r="X16" s="27">
        <f t="shared" si="6"/>
        <v>0.05</v>
      </c>
      <c r="Y16" s="27">
        <f t="shared" si="6"/>
        <v>0.05</v>
      </c>
      <c r="Z16" s="27">
        <f t="shared" si="6"/>
        <v>0.05</v>
      </c>
      <c r="AA16" s="27">
        <f t="shared" si="6"/>
        <v>0.05</v>
      </c>
      <c r="AB16" s="27">
        <f t="shared" si="6"/>
        <v>0.05</v>
      </c>
      <c r="AC16" s="27">
        <f t="shared" si="6"/>
        <v>0.05</v>
      </c>
      <c r="AD16" s="27">
        <f t="shared" si="6"/>
        <v>0.05</v>
      </c>
      <c r="AE16" s="28">
        <v>0.04</v>
      </c>
      <c r="AF16" s="37">
        <f t="shared" si="6"/>
        <v>0.05</v>
      </c>
      <c r="AG16" s="37">
        <f t="shared" si="6"/>
        <v>0.05</v>
      </c>
      <c r="AH16" s="37">
        <f t="shared" si="6"/>
        <v>0.05</v>
      </c>
    </row>
    <row r="17" spans="2:34" ht="14.5" thickBot="1" x14ac:dyDescent="0.35">
      <c r="B17" s="40" t="s">
        <v>66</v>
      </c>
      <c r="C17" s="40">
        <f>SUM(C9:C16)</f>
        <v>701</v>
      </c>
      <c r="D17" s="40">
        <f t="shared" ref="D17:H17" ca="1" si="23">SUM(D9:D16)</f>
        <v>727.63999999999987</v>
      </c>
      <c r="E17" s="40">
        <f t="shared" ca="1" si="23"/>
        <v>755.2523000000001</v>
      </c>
      <c r="F17" s="40">
        <f t="shared" ca="1" si="23"/>
        <v>784.04022500000008</v>
      </c>
      <c r="G17" s="40">
        <f t="shared" ca="1" si="23"/>
        <v>814.05987911000011</v>
      </c>
      <c r="H17" s="40">
        <f t="shared" ca="1" si="23"/>
        <v>845.37029968490015</v>
      </c>
      <c r="I17" s="25">
        <f ca="1">_xlfn.RRI(5,C17,H17)</f>
        <v>3.8163590290562821E-2</v>
      </c>
      <c r="M17" s="41" t="s">
        <v>17</v>
      </c>
      <c r="N17" s="42">
        <f t="shared" ca="1" si="20"/>
        <v>0.02</v>
      </c>
      <c r="O17" s="43">
        <v>0.02</v>
      </c>
      <c r="P17" s="44">
        <f t="shared" si="21"/>
        <v>0.02</v>
      </c>
      <c r="Q17" s="44">
        <f t="shared" si="21"/>
        <v>0.02</v>
      </c>
      <c r="R17" s="44">
        <f t="shared" si="21"/>
        <v>0.02</v>
      </c>
      <c r="S17" s="44">
        <f t="shared" si="22"/>
        <v>0.02</v>
      </c>
      <c r="T17" s="45">
        <f t="shared" si="15"/>
        <v>0.02</v>
      </c>
      <c r="U17" s="43">
        <f t="shared" si="16"/>
        <v>0.02</v>
      </c>
      <c r="V17" s="43">
        <f t="shared" si="10"/>
        <v>0.02</v>
      </c>
      <c r="W17" s="43">
        <f t="shared" si="6"/>
        <v>0.02</v>
      </c>
      <c r="X17" s="43">
        <f t="shared" si="6"/>
        <v>0.02</v>
      </c>
      <c r="Y17" s="43">
        <f t="shared" si="6"/>
        <v>0.02</v>
      </c>
      <c r="Z17" s="43">
        <f t="shared" si="6"/>
        <v>0.02</v>
      </c>
      <c r="AA17" s="43">
        <f t="shared" si="6"/>
        <v>0.02</v>
      </c>
      <c r="AB17" s="43">
        <f t="shared" si="6"/>
        <v>0.02</v>
      </c>
      <c r="AC17" s="43">
        <f t="shared" si="6"/>
        <v>0.02</v>
      </c>
      <c r="AD17" s="43">
        <f t="shared" si="6"/>
        <v>0.02</v>
      </c>
      <c r="AE17" s="43">
        <f t="shared" si="6"/>
        <v>0.02</v>
      </c>
      <c r="AF17" s="46">
        <v>0.01</v>
      </c>
      <c r="AG17" s="45">
        <f t="shared" si="6"/>
        <v>0.02</v>
      </c>
      <c r="AH17" s="45">
        <f t="shared" si="6"/>
        <v>0.02</v>
      </c>
    </row>
    <row r="18" spans="2:34" ht="14.5" x14ac:dyDescent="0.35">
      <c r="B18" s="80" t="s">
        <v>6</v>
      </c>
      <c r="C18" s="81">
        <f>C17/673-1</f>
        <v>4.1604754829123403E-2</v>
      </c>
      <c r="D18" s="81">
        <f ca="1">D17/C17-1</f>
        <v>3.8002853067046871E-2</v>
      </c>
      <c r="E18" s="81">
        <f t="shared" ref="E18:H18" ca="1" si="24">E17/D17-1</f>
        <v>3.7947748886812516E-2</v>
      </c>
      <c r="F18" s="81">
        <f t="shared" ca="1" si="24"/>
        <v>3.8116964357473693E-2</v>
      </c>
      <c r="G18" s="81">
        <f t="shared" ca="1" si="24"/>
        <v>3.8288410661583061E-2</v>
      </c>
      <c r="H18" s="81">
        <f t="shared" ca="1" si="24"/>
        <v>3.8462060811953025E-2</v>
      </c>
      <c r="I18" s="31"/>
      <c r="M18" s="36" t="s">
        <v>32</v>
      </c>
      <c r="N18" s="26">
        <f t="shared" ca="1" si="20"/>
        <v>0.12</v>
      </c>
      <c r="O18" s="27">
        <v>0.12</v>
      </c>
      <c r="P18" s="47">
        <f t="shared" si="21"/>
        <v>0.12</v>
      </c>
      <c r="Q18" s="47">
        <f t="shared" si="21"/>
        <v>0.12</v>
      </c>
      <c r="R18" s="47">
        <f t="shared" si="21"/>
        <v>0.12</v>
      </c>
      <c r="S18" s="47">
        <f t="shared" si="22"/>
        <v>0.12</v>
      </c>
      <c r="T18" s="47">
        <f t="shared" si="15"/>
        <v>0.12</v>
      </c>
      <c r="U18" s="27">
        <f t="shared" si="16"/>
        <v>0.12</v>
      </c>
      <c r="V18" s="27">
        <f t="shared" si="10"/>
        <v>0.12</v>
      </c>
      <c r="W18" s="27">
        <f t="shared" si="6"/>
        <v>0.12</v>
      </c>
      <c r="X18" s="27">
        <f t="shared" si="6"/>
        <v>0.12</v>
      </c>
      <c r="Y18" s="27">
        <f t="shared" si="6"/>
        <v>0.12</v>
      </c>
      <c r="Z18" s="27">
        <f t="shared" si="6"/>
        <v>0.12</v>
      </c>
      <c r="AA18" s="27">
        <f t="shared" si="6"/>
        <v>0.12</v>
      </c>
      <c r="AB18" s="27">
        <f t="shared" si="6"/>
        <v>0.12</v>
      </c>
      <c r="AC18" s="27">
        <f t="shared" si="6"/>
        <v>0.12</v>
      </c>
      <c r="AD18" s="27">
        <f t="shared" si="6"/>
        <v>0.12</v>
      </c>
      <c r="AE18" s="27">
        <f t="shared" si="6"/>
        <v>0.12</v>
      </c>
      <c r="AF18" s="26">
        <f t="shared" si="6"/>
        <v>0.12</v>
      </c>
      <c r="AG18" s="48">
        <v>0.11</v>
      </c>
      <c r="AH18" s="26">
        <f t="shared" si="6"/>
        <v>0.12</v>
      </c>
    </row>
    <row r="19" spans="2:34" x14ac:dyDescent="0.3">
      <c r="I19" s="31"/>
      <c r="M19" s="41" t="s">
        <v>33</v>
      </c>
      <c r="N19" s="49">
        <f t="shared" ca="1" si="20"/>
        <v>12</v>
      </c>
      <c r="O19" s="50">
        <v>12</v>
      </c>
      <c r="P19" s="50">
        <f t="shared" si="21"/>
        <v>12</v>
      </c>
      <c r="Q19" s="50">
        <f t="shared" si="21"/>
        <v>12</v>
      </c>
      <c r="R19" s="50">
        <f t="shared" si="21"/>
        <v>12</v>
      </c>
      <c r="S19" s="50">
        <f t="shared" si="21"/>
        <v>12</v>
      </c>
      <c r="T19" s="50">
        <f t="shared" si="21"/>
        <v>12</v>
      </c>
      <c r="U19" s="50">
        <f t="shared" si="21"/>
        <v>12</v>
      </c>
      <c r="V19" s="50">
        <f t="shared" si="21"/>
        <v>12</v>
      </c>
      <c r="W19" s="50">
        <f t="shared" si="21"/>
        <v>12</v>
      </c>
      <c r="X19" s="50">
        <f t="shared" si="21"/>
        <v>12</v>
      </c>
      <c r="Y19" s="50">
        <f t="shared" si="21"/>
        <v>12</v>
      </c>
      <c r="Z19" s="50">
        <f t="shared" si="21"/>
        <v>12</v>
      </c>
      <c r="AA19" s="50">
        <f t="shared" si="21"/>
        <v>12</v>
      </c>
      <c r="AB19" s="50">
        <f t="shared" si="21"/>
        <v>12</v>
      </c>
      <c r="AC19" s="50">
        <f t="shared" si="21"/>
        <v>12</v>
      </c>
      <c r="AD19" s="50">
        <f t="shared" si="21"/>
        <v>12</v>
      </c>
      <c r="AE19" s="50">
        <f t="shared" si="21"/>
        <v>12</v>
      </c>
      <c r="AF19" s="50">
        <f t="shared" ref="AF19:AG19" si="25">AE19</f>
        <v>12</v>
      </c>
      <c r="AG19" s="50">
        <f t="shared" si="25"/>
        <v>12</v>
      </c>
      <c r="AH19" s="51">
        <v>13</v>
      </c>
    </row>
    <row r="20" spans="2:34" x14ac:dyDescent="0.3">
      <c r="B20" s="52" t="s">
        <v>7</v>
      </c>
      <c r="I20" s="31"/>
      <c r="M20" s="33" t="s">
        <v>38</v>
      </c>
      <c r="N20" s="53">
        <f ca="1">C46</f>
        <v>3823.065751180613</v>
      </c>
      <c r="O20" s="53">
        <f>O26</f>
        <v>3823.065751180613</v>
      </c>
      <c r="P20" s="53">
        <f t="shared" ref="P20:AH23" si="26">P26</f>
        <v>4137.7579331545294</v>
      </c>
      <c r="Q20" s="53">
        <f t="shared" si="26"/>
        <v>3660.0235649675337</v>
      </c>
      <c r="R20" s="53">
        <f t="shared" si="26"/>
        <v>4501.3964591972936</v>
      </c>
      <c r="S20" s="53">
        <f t="shared" si="26"/>
        <v>3095.3740054269169</v>
      </c>
      <c r="T20" s="53">
        <f t="shared" si="26"/>
        <v>3659.246761202352</v>
      </c>
      <c r="U20" s="53">
        <f t="shared" si="26"/>
        <v>3823.065751180613</v>
      </c>
      <c r="V20" s="53">
        <f t="shared" si="26"/>
        <v>3823.065751180613</v>
      </c>
      <c r="W20" s="53">
        <f t="shared" si="26"/>
        <v>3913.2502375811491</v>
      </c>
      <c r="X20" s="53">
        <f t="shared" si="26"/>
        <v>3967.5916002960357</v>
      </c>
      <c r="Y20" s="53">
        <f t="shared" si="26"/>
        <v>3919.8002841338953</v>
      </c>
      <c r="Z20" s="53">
        <f t="shared" si="26"/>
        <v>3836.0283010915728</v>
      </c>
      <c r="AA20" s="53">
        <f t="shared" si="26"/>
        <v>3892.6218456535157</v>
      </c>
      <c r="AB20" s="53">
        <f t="shared" si="26"/>
        <v>3892.6218456535157</v>
      </c>
      <c r="AC20" s="53">
        <f t="shared" si="26"/>
        <v>3892.6218456535153</v>
      </c>
      <c r="AD20" s="53">
        <f t="shared" si="26"/>
        <v>3819.5571749208784</v>
      </c>
      <c r="AE20" s="53">
        <f t="shared" si="26"/>
        <v>3851.1343612584892</v>
      </c>
      <c r="AF20" s="53">
        <f t="shared" si="26"/>
        <v>3851.1343612584892</v>
      </c>
      <c r="AG20" s="53">
        <f t="shared" si="26"/>
        <v>3980.9256470431251</v>
      </c>
      <c r="AH20" s="53">
        <f t="shared" si="26"/>
        <v>4067.7055148253403</v>
      </c>
    </row>
    <row r="21" spans="2:34" x14ac:dyDescent="0.3">
      <c r="B21" s="19" t="s">
        <v>8</v>
      </c>
      <c r="C21" s="54">
        <f>-203</f>
        <v>-203</v>
      </c>
      <c r="D21" s="54">
        <f ca="1">-D61*D$17</f>
        <v>-209.31950333808842</v>
      </c>
      <c r="E21" s="54">
        <f t="shared" ref="E21:H21" ca="1" si="27">-E61*E$17</f>
        <v>-215.81469146590592</v>
      </c>
      <c r="F21" s="54">
        <f t="shared" ca="1" si="27"/>
        <v>-222.5376825788874</v>
      </c>
      <c r="G21" s="54">
        <f t="shared" ca="1" si="27"/>
        <v>-229.4975314539725</v>
      </c>
      <c r="H21" s="54">
        <f t="shared" ca="1" si="27"/>
        <v>-236.70368391177206</v>
      </c>
      <c r="I21" s="31"/>
      <c r="M21" s="36" t="s">
        <v>61</v>
      </c>
      <c r="N21" s="55">
        <f ca="1">C51</f>
        <v>49.356643668151257</v>
      </c>
      <c r="O21" s="55">
        <f t="shared" ref="O21:AD23" si="28">O27</f>
        <v>49.356643668151257</v>
      </c>
      <c r="P21" s="55">
        <f t="shared" si="28"/>
        <v>55.152079800267579</v>
      </c>
      <c r="Q21" s="55">
        <f t="shared" si="28"/>
        <v>46.354025137523642</v>
      </c>
      <c r="R21" s="55">
        <f t="shared" si="28"/>
        <v>61.848921900502646</v>
      </c>
      <c r="S21" s="55">
        <f t="shared" si="28"/>
        <v>35.955322383552797</v>
      </c>
      <c r="T21" s="55">
        <f t="shared" si="28"/>
        <v>46.339719359159339</v>
      </c>
      <c r="U21" s="55">
        <f t="shared" si="28"/>
        <v>49.356643668151257</v>
      </c>
      <c r="V21" s="55">
        <f t="shared" si="28"/>
        <v>49.356643668151257</v>
      </c>
      <c r="W21" s="55">
        <f t="shared" si="28"/>
        <v>51.017499771291881</v>
      </c>
      <c r="X21" s="55">
        <f t="shared" si="28"/>
        <v>52.018261515580768</v>
      </c>
      <c r="Y21" s="55">
        <f t="shared" si="28"/>
        <v>51.138126779629751</v>
      </c>
      <c r="Z21" s="55">
        <f t="shared" si="28"/>
        <v>49.595364660986611</v>
      </c>
      <c r="AA21" s="55">
        <f t="shared" si="28"/>
        <v>50.637603050709316</v>
      </c>
      <c r="AB21" s="55">
        <f t="shared" si="28"/>
        <v>50.637603050709316</v>
      </c>
      <c r="AC21" s="55">
        <f t="shared" si="28"/>
        <v>50.637603050709309</v>
      </c>
      <c r="AD21" s="55">
        <f t="shared" si="28"/>
        <v>49.292029004067743</v>
      </c>
      <c r="AE21" s="55">
        <f t="shared" si="26"/>
        <v>49.873560980819327</v>
      </c>
      <c r="AF21" s="55">
        <f t="shared" si="26"/>
        <v>49.873560980819327</v>
      </c>
      <c r="AG21" s="55">
        <f t="shared" si="26"/>
        <v>52.26382407077579</v>
      </c>
      <c r="AH21" s="55">
        <f t="shared" si="26"/>
        <v>53.861980015199642</v>
      </c>
    </row>
    <row r="22" spans="2:34" x14ac:dyDescent="0.3">
      <c r="B22" s="56" t="s">
        <v>4</v>
      </c>
      <c r="C22" s="57">
        <f>-65</f>
        <v>-65</v>
      </c>
      <c r="D22" s="57">
        <f ca="1">-D62*D$17</f>
        <v>-67.073668359486447</v>
      </c>
      <c r="E22" s="57">
        <f ca="1">-E62*E$17</f>
        <v>-69.207399062482182</v>
      </c>
      <c r="F22" s="57">
        <f ca="1">-F62*F$17</f>
        <v>-71.418123433880197</v>
      </c>
      <c r="G22" s="57">
        <f ca="1">-G62*G$17</f>
        <v>-73.708999496248126</v>
      </c>
      <c r="H22" s="57">
        <f ca="1">-H62*H$17</f>
        <v>-76.083326971641014</v>
      </c>
      <c r="I22" s="31"/>
      <c r="M22" s="36" t="s">
        <v>27</v>
      </c>
      <c r="N22" s="37">
        <f ca="1">C53</f>
        <v>-7.3636567789953866E-2</v>
      </c>
      <c r="O22" s="37">
        <f t="shared" si="28"/>
        <v>-7.3636567789953866E-2</v>
      </c>
      <c r="P22" s="37">
        <f t="shared" si="26"/>
        <v>3.5136632887905028E-2</v>
      </c>
      <c r="Q22" s="37">
        <f t="shared" si="26"/>
        <v>-0.1299920206921239</v>
      </c>
      <c r="R22" s="37">
        <f t="shared" si="26"/>
        <v>0.16082811374817285</v>
      </c>
      <c r="S22" s="37">
        <f t="shared" si="26"/>
        <v>-0.32516286817656159</v>
      </c>
      <c r="T22" s="37">
        <f t="shared" si="26"/>
        <v>-0.13026052253830067</v>
      </c>
      <c r="U22" s="37">
        <f t="shared" si="26"/>
        <v>-7.3636567789953866E-2</v>
      </c>
      <c r="V22" s="37">
        <f t="shared" si="26"/>
        <v>-7.3636567789953866E-2</v>
      </c>
      <c r="W22" s="37">
        <f t="shared" si="26"/>
        <v>-4.2464343631909207E-2</v>
      </c>
      <c r="X22" s="37">
        <f t="shared" si="26"/>
        <v>-2.3681277860721384E-2</v>
      </c>
      <c r="Y22" s="37">
        <f t="shared" si="26"/>
        <v>-4.0200323205147326E-2</v>
      </c>
      <c r="Z22" s="37">
        <f t="shared" si="26"/>
        <v>-6.9156068675176208E-2</v>
      </c>
      <c r="AA22" s="37">
        <f t="shared" si="26"/>
        <v>-4.9594537336536848E-2</v>
      </c>
      <c r="AB22" s="37">
        <f t="shared" si="26"/>
        <v>-4.9594537336536848E-2</v>
      </c>
      <c r="AC22" s="37">
        <f t="shared" si="26"/>
        <v>-4.9594537336536959E-2</v>
      </c>
      <c r="AD22" s="37">
        <f t="shared" si="26"/>
        <v>-7.4849305479209094E-2</v>
      </c>
      <c r="AE22" s="37">
        <f t="shared" si="26"/>
        <v>-6.3934666275913599E-2</v>
      </c>
      <c r="AF22" s="37">
        <f t="shared" si="26"/>
        <v>-6.3934666275913599E-2</v>
      </c>
      <c r="AG22" s="37">
        <f t="shared" si="26"/>
        <v>-1.9072371043997949E-2</v>
      </c>
      <c r="AH22" s="37">
        <f t="shared" si="26"/>
        <v>1.092304833332669E-2</v>
      </c>
    </row>
    <row r="23" spans="2:34" x14ac:dyDescent="0.3">
      <c r="B23" s="11" t="s">
        <v>9</v>
      </c>
      <c r="C23" s="57">
        <f>-92</f>
        <v>-92</v>
      </c>
      <c r="D23" s="57">
        <f ca="1">-D63*D$17</f>
        <v>-93.860369985734636</v>
      </c>
      <c r="E23" s="57">
        <f ca="1">-E63*E$17</f>
        <v>-95.724188802282455</v>
      </c>
      <c r="F23" s="57">
        <f ca="1">-F63*F$17</f>
        <v>-97.61021186333808</v>
      </c>
      <c r="G23" s="57">
        <f ca="1">-G63*G$17</f>
        <v>-99.517368616562848</v>
      </c>
      <c r="H23" s="57">
        <f ca="1">-H63*H$17</f>
        <v>-101.44443596218801</v>
      </c>
      <c r="I23" s="31"/>
      <c r="M23" s="36" t="s">
        <v>62</v>
      </c>
      <c r="N23" s="27">
        <f ca="1">C56</f>
        <v>0.10662389178954612</v>
      </c>
      <c r="O23" s="27">
        <f t="shared" si="28"/>
        <v>0.10662389178954612</v>
      </c>
      <c r="P23" s="27">
        <f t="shared" si="26"/>
        <v>0.12617669095119521</v>
      </c>
      <c r="Q23" s="27">
        <f t="shared" si="26"/>
        <v>9.5956994646495097E-2</v>
      </c>
      <c r="R23" s="27">
        <f t="shared" si="26"/>
        <v>0.14727926448808426</v>
      </c>
      <c r="S23" s="27">
        <f t="shared" si="26"/>
        <v>5.5639969657608646E-2</v>
      </c>
      <c r="T23" s="27">
        <f t="shared" si="26"/>
        <v>9.5913452610718153E-2</v>
      </c>
      <c r="U23" s="27">
        <f t="shared" si="26"/>
        <v>0.10662389178954612</v>
      </c>
      <c r="V23" s="27">
        <f t="shared" si="26"/>
        <v>0.10662389178954612</v>
      </c>
      <c r="W23" s="27">
        <f t="shared" si="26"/>
        <v>0.1123608496351427</v>
      </c>
      <c r="X23" s="27">
        <f t="shared" si="26"/>
        <v>0.11576428733662225</v>
      </c>
      <c r="Y23" s="27">
        <f t="shared" si="26"/>
        <v>0.1127737115644647</v>
      </c>
      <c r="Z23" s="27">
        <f t="shared" si="26"/>
        <v>0.10745542719930379</v>
      </c>
      <c r="AA23" s="27">
        <f t="shared" si="26"/>
        <v>0.1110571251296868</v>
      </c>
      <c r="AB23" s="27">
        <f t="shared" si="26"/>
        <v>0.1110571251296868</v>
      </c>
      <c r="AC23" s="27">
        <f t="shared" si="26"/>
        <v>0.1110571251296868</v>
      </c>
      <c r="AD23" s="27">
        <f t="shared" si="26"/>
        <v>0.10640366258344636</v>
      </c>
      <c r="AE23" s="27">
        <f t="shared" si="26"/>
        <v>0.10838580171598911</v>
      </c>
      <c r="AF23" s="27">
        <f t="shared" si="26"/>
        <v>0.10838580171598911</v>
      </c>
      <c r="AG23" s="27">
        <f t="shared" si="26"/>
        <v>0.10662389178954612</v>
      </c>
      <c r="AH23" s="27">
        <f t="shared" si="26"/>
        <v>0.12192803467062707</v>
      </c>
    </row>
    <row r="24" spans="2:34" x14ac:dyDescent="0.3">
      <c r="B24" s="58" t="s">
        <v>10</v>
      </c>
      <c r="C24" s="59">
        <f>SUM(C21:C23)</f>
        <v>-360</v>
      </c>
      <c r="D24" s="59">
        <f ca="1">SUM(D21:D23)</f>
        <v>-370.25354168330949</v>
      </c>
      <c r="E24" s="59">
        <f t="shared" ref="E24:H24" ca="1" si="29">SUM(E21:E23)</f>
        <v>-380.74627933067057</v>
      </c>
      <c r="F24" s="59">
        <f t="shared" ca="1" si="29"/>
        <v>-391.56601787610566</v>
      </c>
      <c r="G24" s="59">
        <f t="shared" ca="1" si="29"/>
        <v>-402.72389956678347</v>
      </c>
      <c r="H24" s="59">
        <f t="shared" ca="1" si="29"/>
        <v>-414.23144684560111</v>
      </c>
      <c r="I24" s="31"/>
    </row>
    <row r="25" spans="2:34" ht="14.5" thickBot="1" x14ac:dyDescent="0.35">
      <c r="B25" s="60" t="s">
        <v>11</v>
      </c>
      <c r="C25" s="60">
        <f>C24+C17</f>
        <v>341</v>
      </c>
      <c r="D25" s="61">
        <f ca="1">D24+D17</f>
        <v>357.38645831669038</v>
      </c>
      <c r="E25" s="61">
        <f t="shared" ref="E25:H25" ca="1" si="30">E24+E17</f>
        <v>374.50602066932953</v>
      </c>
      <c r="F25" s="61">
        <f t="shared" ca="1" si="30"/>
        <v>392.47420712389442</v>
      </c>
      <c r="G25" s="61">
        <f t="shared" ca="1" si="30"/>
        <v>411.33597954321664</v>
      </c>
      <c r="H25" s="61">
        <f t="shared" ca="1" si="30"/>
        <v>431.13885283929903</v>
      </c>
      <c r="I25" s="25">
        <f ca="1">_xlfn.RRI(5,C25,H25)</f>
        <v>4.8027205553320629E-2</v>
      </c>
      <c r="O25" s="11">
        <v>1</v>
      </c>
      <c r="P25" s="11">
        <f>O25+1</f>
        <v>2</v>
      </c>
      <c r="Q25" s="11">
        <f t="shared" ref="Q25:AH25" si="31">P25+1</f>
        <v>3</v>
      </c>
      <c r="R25" s="11">
        <f t="shared" si="31"/>
        <v>4</v>
      </c>
      <c r="S25" s="11">
        <f t="shared" si="31"/>
        <v>5</v>
      </c>
      <c r="T25" s="11">
        <f t="shared" si="31"/>
        <v>6</v>
      </c>
      <c r="U25" s="11">
        <f t="shared" si="31"/>
        <v>7</v>
      </c>
      <c r="V25" s="11">
        <f t="shared" si="31"/>
        <v>8</v>
      </c>
      <c r="W25" s="11">
        <f t="shared" si="31"/>
        <v>9</v>
      </c>
      <c r="X25" s="11">
        <f t="shared" si="31"/>
        <v>10</v>
      </c>
      <c r="Y25" s="11">
        <f t="shared" si="31"/>
        <v>11</v>
      </c>
      <c r="Z25" s="11">
        <f t="shared" si="31"/>
        <v>12</v>
      </c>
      <c r="AA25" s="11">
        <f t="shared" si="31"/>
        <v>13</v>
      </c>
      <c r="AB25" s="11">
        <f t="shared" si="31"/>
        <v>14</v>
      </c>
      <c r="AC25" s="11">
        <f t="shared" si="31"/>
        <v>15</v>
      </c>
      <c r="AD25" s="11">
        <f t="shared" si="31"/>
        <v>16</v>
      </c>
      <c r="AE25" s="11">
        <f t="shared" si="31"/>
        <v>17</v>
      </c>
      <c r="AF25" s="11">
        <f t="shared" si="31"/>
        <v>18</v>
      </c>
      <c r="AG25" s="11">
        <f t="shared" si="31"/>
        <v>19</v>
      </c>
      <c r="AH25" s="11">
        <f t="shared" si="31"/>
        <v>20</v>
      </c>
    </row>
    <row r="26" spans="2:34" ht="14.5" x14ac:dyDescent="0.35">
      <c r="B26" s="80" t="s">
        <v>13</v>
      </c>
      <c r="C26" s="81">
        <f>C25/C17</f>
        <v>0.48644793152639088</v>
      </c>
      <c r="D26" s="81">
        <f ca="1">D25/D17</f>
        <v>0.49115834522111268</v>
      </c>
      <c r="E26" s="81">
        <f t="shared" ref="E26:H26" ca="1" si="32">E25/E17</f>
        <v>0.49586875891583443</v>
      </c>
      <c r="F26" s="81">
        <f t="shared" ca="1" si="32"/>
        <v>0.50057917261055629</v>
      </c>
      <c r="G26" s="81">
        <f t="shared" ca="1" si="32"/>
        <v>0.50528958630527809</v>
      </c>
      <c r="H26" s="81">
        <f t="shared" ca="1" si="32"/>
        <v>0.5099999999999999</v>
      </c>
      <c r="I26" s="31"/>
      <c r="N26" s="53">
        <f ca="1">N20</f>
        <v>3823.065751180613</v>
      </c>
      <c r="O26" s="53">
        <f t="dataTable" ref="O26:AH29" dt2D="0" dtr="1" r1="N6" ca="1"/>
        <v>3823.065751180613</v>
      </c>
      <c r="P26" s="53">
        <v>4137.7579331545294</v>
      </c>
      <c r="Q26" s="53">
        <v>3660.0235649675337</v>
      </c>
      <c r="R26" s="53">
        <v>4501.3964591972936</v>
      </c>
      <c r="S26" s="53">
        <v>3095.3740054269169</v>
      </c>
      <c r="T26" s="53">
        <v>3659.246761202352</v>
      </c>
      <c r="U26" s="53">
        <v>3823.065751180613</v>
      </c>
      <c r="V26" s="53">
        <v>3823.065751180613</v>
      </c>
      <c r="W26" s="53">
        <v>3913.2502375811491</v>
      </c>
      <c r="X26" s="53">
        <v>3967.5916002960357</v>
      </c>
      <c r="Y26" s="53">
        <v>3919.8002841338953</v>
      </c>
      <c r="Z26" s="53">
        <v>3836.0283010915728</v>
      </c>
      <c r="AA26" s="53">
        <v>3892.6218456535157</v>
      </c>
      <c r="AB26" s="53">
        <v>3892.6218456535157</v>
      </c>
      <c r="AC26" s="53">
        <v>3892.6218456535153</v>
      </c>
      <c r="AD26" s="53">
        <v>3819.5571749208784</v>
      </c>
      <c r="AE26" s="53">
        <v>3851.1343612584892</v>
      </c>
      <c r="AF26" s="53">
        <v>3851.1343612584892</v>
      </c>
      <c r="AG26" s="53">
        <v>3980.9256470431251</v>
      </c>
      <c r="AH26" s="53">
        <v>4067.7055148253403</v>
      </c>
    </row>
    <row r="27" spans="2:34" ht="14.5" x14ac:dyDescent="0.35">
      <c r="B27" s="80" t="s">
        <v>6</v>
      </c>
      <c r="C27" s="82"/>
      <c r="D27" s="84">
        <f ca="1">D25/C25-1</f>
        <v>4.8054129960968917E-2</v>
      </c>
      <c r="E27" s="84">
        <f t="shared" ref="E27:H27" ca="1" si="33">E25/D25-1</f>
        <v>4.7902101364649452E-2</v>
      </c>
      <c r="F27" s="84">
        <f t="shared" ca="1" si="33"/>
        <v>4.7978364733500367E-2</v>
      </c>
      <c r="G27" s="84">
        <f t="shared" ca="1" si="33"/>
        <v>4.8058629272847986E-2</v>
      </c>
      <c r="H27" s="84">
        <f t="shared" ca="1" si="33"/>
        <v>4.8142818233584128E-2</v>
      </c>
      <c r="I27" s="31"/>
      <c r="N27" s="55">
        <f t="shared" ref="N27:N29" ca="1" si="34">N21</f>
        <v>49.356643668151257</v>
      </c>
      <c r="O27" s="55">
        <v>49.356643668151257</v>
      </c>
      <c r="P27" s="55">
        <v>55.152079800267579</v>
      </c>
      <c r="Q27" s="55">
        <v>46.354025137523642</v>
      </c>
      <c r="R27" s="55">
        <v>61.848921900502646</v>
      </c>
      <c r="S27" s="55">
        <v>35.955322383552797</v>
      </c>
      <c r="T27" s="55">
        <v>46.339719359159339</v>
      </c>
      <c r="U27" s="55">
        <v>49.356643668151257</v>
      </c>
      <c r="V27" s="55">
        <v>49.356643668151257</v>
      </c>
      <c r="W27" s="55">
        <v>51.017499771291881</v>
      </c>
      <c r="X27" s="55">
        <v>52.018261515580768</v>
      </c>
      <c r="Y27" s="55">
        <v>51.138126779629751</v>
      </c>
      <c r="Z27" s="55">
        <v>49.595364660986611</v>
      </c>
      <c r="AA27" s="55">
        <v>50.637603050709316</v>
      </c>
      <c r="AB27" s="55">
        <v>50.637603050709316</v>
      </c>
      <c r="AC27" s="55">
        <v>50.637603050709309</v>
      </c>
      <c r="AD27" s="55">
        <v>49.292029004067743</v>
      </c>
      <c r="AE27" s="55">
        <v>49.873560980819327</v>
      </c>
      <c r="AF27" s="55">
        <v>49.873560980819327</v>
      </c>
      <c r="AG27" s="55">
        <v>52.26382407077579</v>
      </c>
      <c r="AH27" s="55">
        <v>53.861980015199642</v>
      </c>
    </row>
    <row r="28" spans="2:34" x14ac:dyDescent="0.3">
      <c r="I28" s="31"/>
      <c r="N28" s="37">
        <f t="shared" ca="1" si="34"/>
        <v>-7.3636567789953866E-2</v>
      </c>
      <c r="O28" s="37">
        <v>-7.3636567789953866E-2</v>
      </c>
      <c r="P28" s="37">
        <v>3.5136632887905028E-2</v>
      </c>
      <c r="Q28" s="37">
        <v>-0.1299920206921239</v>
      </c>
      <c r="R28" s="37">
        <v>0.16082811374817285</v>
      </c>
      <c r="S28" s="37">
        <v>-0.32516286817656159</v>
      </c>
      <c r="T28" s="37">
        <v>-0.13026052253830067</v>
      </c>
      <c r="U28" s="37">
        <v>-7.3636567789953866E-2</v>
      </c>
      <c r="V28" s="37">
        <v>-7.3636567789953866E-2</v>
      </c>
      <c r="W28" s="37">
        <v>-4.2464343631909207E-2</v>
      </c>
      <c r="X28" s="37">
        <v>-2.3681277860721384E-2</v>
      </c>
      <c r="Y28" s="37">
        <v>-4.0200323205147326E-2</v>
      </c>
      <c r="Z28" s="37">
        <v>-6.9156068675176208E-2</v>
      </c>
      <c r="AA28" s="37">
        <v>-4.9594537336536848E-2</v>
      </c>
      <c r="AB28" s="37">
        <v>-4.9594537336536848E-2</v>
      </c>
      <c r="AC28" s="37">
        <v>-4.9594537336536959E-2</v>
      </c>
      <c r="AD28" s="37">
        <v>-7.4849305479209094E-2</v>
      </c>
      <c r="AE28" s="37">
        <v>-6.3934666275913599E-2</v>
      </c>
      <c r="AF28" s="37">
        <v>-6.3934666275913599E-2</v>
      </c>
      <c r="AG28" s="37">
        <v>-1.9072371043997949E-2</v>
      </c>
      <c r="AH28" s="37">
        <v>1.092304833332669E-2</v>
      </c>
    </row>
    <row r="29" spans="2:34" x14ac:dyDescent="0.3">
      <c r="I29" s="31"/>
      <c r="N29" s="27">
        <f t="shared" ca="1" si="34"/>
        <v>0.10662389178954612</v>
      </c>
      <c r="O29" s="27">
        <v>0.10662389178954612</v>
      </c>
      <c r="P29" s="27">
        <v>0.12617669095119521</v>
      </c>
      <c r="Q29" s="27">
        <v>9.5956994646495097E-2</v>
      </c>
      <c r="R29" s="27">
        <v>0.14727926448808426</v>
      </c>
      <c r="S29" s="27">
        <v>5.5639969657608646E-2</v>
      </c>
      <c r="T29" s="27">
        <v>9.5913452610718153E-2</v>
      </c>
      <c r="U29" s="27">
        <v>0.10662389178954612</v>
      </c>
      <c r="V29" s="27">
        <v>0.10662389178954612</v>
      </c>
      <c r="W29" s="27">
        <v>0.1123608496351427</v>
      </c>
      <c r="X29" s="27">
        <v>0.11576428733662225</v>
      </c>
      <c r="Y29" s="27">
        <v>0.1127737115644647</v>
      </c>
      <c r="Z29" s="27">
        <v>0.10745542719930379</v>
      </c>
      <c r="AA29" s="27">
        <v>0.1110571251296868</v>
      </c>
      <c r="AB29" s="27">
        <v>0.1110571251296868</v>
      </c>
      <c r="AC29" s="27">
        <v>0.1110571251296868</v>
      </c>
      <c r="AD29" s="27">
        <v>0.10640366258344636</v>
      </c>
      <c r="AE29" s="27">
        <v>0.10838580171598911</v>
      </c>
      <c r="AF29" s="27">
        <v>0.10838580171598911</v>
      </c>
      <c r="AG29" s="27">
        <v>0.10662389178954612</v>
      </c>
      <c r="AH29" s="27">
        <v>0.12192803467062707</v>
      </c>
    </row>
    <row r="30" spans="2:34" x14ac:dyDescent="0.3">
      <c r="B30" s="17" t="s">
        <v>14</v>
      </c>
      <c r="I30" s="31"/>
      <c r="W30" s="55">
        <f>ABS(W27-$O$27)</f>
        <v>1.6608561031406239</v>
      </c>
      <c r="X30" s="55">
        <f t="shared" ref="X30:AH30" si="35">ABS(X27-$O$27)</f>
        <v>2.6616178474295111</v>
      </c>
      <c r="Y30" s="55">
        <f t="shared" si="35"/>
        <v>1.7814831114784937</v>
      </c>
      <c r="Z30" s="55">
        <f t="shared" si="35"/>
        <v>0.2387209928353542</v>
      </c>
      <c r="AA30" s="55">
        <f t="shared" si="35"/>
        <v>1.2809593825580592</v>
      </c>
      <c r="AB30" s="55">
        <f t="shared" si="35"/>
        <v>1.2809593825580592</v>
      </c>
      <c r="AC30" s="55">
        <f t="shared" si="35"/>
        <v>1.2809593825580521</v>
      </c>
      <c r="AD30" s="55">
        <f t="shared" si="35"/>
        <v>6.4614664083514128E-2</v>
      </c>
      <c r="AE30" s="55">
        <f t="shared" si="35"/>
        <v>0.51691731266807039</v>
      </c>
      <c r="AF30" s="55">
        <f t="shared" si="35"/>
        <v>0.51691731266807039</v>
      </c>
      <c r="AG30" s="55">
        <f t="shared" si="35"/>
        <v>2.9071804026245331</v>
      </c>
      <c r="AH30" s="55">
        <f t="shared" si="35"/>
        <v>4.5053363470483845</v>
      </c>
    </row>
    <row r="31" spans="2:34" x14ac:dyDescent="0.3">
      <c r="B31" s="62" t="s">
        <v>11</v>
      </c>
      <c r="C31" s="63">
        <f>C25</f>
        <v>341</v>
      </c>
      <c r="D31" s="63">
        <f t="shared" ref="D31:H31" ca="1" si="36">D25</f>
        <v>357.38645831669038</v>
      </c>
      <c r="E31" s="63">
        <f t="shared" ca="1" si="36"/>
        <v>374.50602066932953</v>
      </c>
      <c r="F31" s="63">
        <f t="shared" ca="1" si="36"/>
        <v>392.47420712389442</v>
      </c>
      <c r="G31" s="63">
        <f t="shared" ca="1" si="36"/>
        <v>411.33597954321664</v>
      </c>
      <c r="H31" s="63">
        <f t="shared" ca="1" si="36"/>
        <v>431.13885283929903</v>
      </c>
      <c r="I31" s="31"/>
    </row>
    <row r="32" spans="2:34" ht="17" x14ac:dyDescent="0.6">
      <c r="B32" s="11" t="s">
        <v>15</v>
      </c>
      <c r="C32" s="57">
        <f>-SUM(C31+C58)*25%</f>
        <v>-77</v>
      </c>
      <c r="D32" s="57">
        <f t="shared" ref="D32:H32" ca="1" si="37">-SUM(D31+D58)*25%</f>
        <v>-81.16066457917259</v>
      </c>
      <c r="E32" s="57">
        <f t="shared" ca="1" si="37"/>
        <v>-85.129916792332381</v>
      </c>
      <c r="F32" s="57">
        <f t="shared" ca="1" si="37"/>
        <v>-89.298099249723606</v>
      </c>
      <c r="G32" s="57">
        <f t="shared" ca="1" si="37"/>
        <v>-93.675821245816664</v>
      </c>
      <c r="H32" s="57">
        <f t="shared" ca="1" si="37"/>
        <v>-98.274297338369635</v>
      </c>
      <c r="I32" s="31"/>
      <c r="M32" s="64" t="s">
        <v>64</v>
      </c>
      <c r="N32" s="64" t="s">
        <v>26</v>
      </c>
      <c r="O32" s="64" t="s">
        <v>65</v>
      </c>
      <c r="P32" s="65" t="s">
        <v>71</v>
      </c>
      <c r="Q32" s="65"/>
    </row>
    <row r="33" spans="1:17" x14ac:dyDescent="0.3">
      <c r="B33" s="11" t="s">
        <v>16</v>
      </c>
      <c r="C33" s="57">
        <f>C58-6</f>
        <v>-39</v>
      </c>
      <c r="D33" s="57">
        <f ca="1">-$N$16*D17</f>
        <v>-36.381999999999998</v>
      </c>
      <c r="E33" s="57">
        <f t="shared" ref="E33:H33" ca="1" si="38">-$N$16*E17</f>
        <v>-37.762615000000004</v>
      </c>
      <c r="F33" s="57">
        <f t="shared" ca="1" si="38"/>
        <v>-39.202011250000005</v>
      </c>
      <c r="G33" s="57">
        <f t="shared" ca="1" si="38"/>
        <v>-40.702993955500006</v>
      </c>
      <c r="H33" s="57">
        <f t="shared" ca="1" si="38"/>
        <v>-42.268514984245009</v>
      </c>
      <c r="I33" s="31"/>
      <c r="M33" s="11" t="str">
        <f>M8</f>
        <v>Issuer</v>
      </c>
      <c r="N33" s="27">
        <f>O8</f>
        <v>0.03</v>
      </c>
      <c r="O33" s="27">
        <v>0.02</v>
      </c>
      <c r="P33" s="66" cm="1">
        <f t="array" ref="P33:P44">TRANSPOSE(W30:AH30)</f>
        <v>1.6608561031406239</v>
      </c>
      <c r="Q33" s="8" t="str">
        <f>REPT("|",P33*10)</f>
        <v>||||||||||||||||</v>
      </c>
    </row>
    <row r="34" spans="1:17" x14ac:dyDescent="0.3">
      <c r="B34" s="11" t="s">
        <v>17</v>
      </c>
      <c r="C34" s="57">
        <f>-2%*C17</f>
        <v>-14.02</v>
      </c>
      <c r="D34" s="57">
        <f ca="1">-$N$17*D17</f>
        <v>-14.552799999999998</v>
      </c>
      <c r="E34" s="57">
        <f t="shared" ref="E34:H34" ca="1" si="39">-$N$17*E17</f>
        <v>-15.105046000000002</v>
      </c>
      <c r="F34" s="57">
        <f t="shared" ca="1" si="39"/>
        <v>-15.680804500000002</v>
      </c>
      <c r="G34" s="57">
        <f t="shared" ca="1" si="39"/>
        <v>-16.281197582200001</v>
      </c>
      <c r="H34" s="57">
        <f t="shared" ca="1" si="39"/>
        <v>-16.907405993698003</v>
      </c>
      <c r="I34" s="31"/>
      <c r="M34" s="11" t="str">
        <f t="shared" ref="M34:M40" si="40">M9</f>
        <v>Trading</v>
      </c>
      <c r="N34" s="27">
        <f t="shared" ref="N34:N40" si="41">O9</f>
        <v>0.03</v>
      </c>
      <c r="O34" s="27">
        <v>0.02</v>
      </c>
      <c r="P34" s="66">
        <v>2.6616178474295111</v>
      </c>
      <c r="Q34" s="8" t="str">
        <f t="shared" ref="Q34:Q46" si="42">REPT("|",P34*10)</f>
        <v>||||||||||||||||||||||||||</v>
      </c>
    </row>
    <row r="35" spans="1:17" ht="14.5" thickBot="1" x14ac:dyDescent="0.35">
      <c r="B35" s="67" t="s">
        <v>18</v>
      </c>
      <c r="C35" s="40">
        <f>SUM(C31:C34)</f>
        <v>210.98</v>
      </c>
      <c r="D35" s="40">
        <f t="shared" ref="D35:H35" ca="1" si="43">SUM(D31:D34)</f>
        <v>225.29099373751779</v>
      </c>
      <c r="E35" s="40">
        <f t="shared" ca="1" si="43"/>
        <v>236.50844287699715</v>
      </c>
      <c r="F35" s="40">
        <f t="shared" ca="1" si="43"/>
        <v>248.29329212417085</v>
      </c>
      <c r="G35" s="40">
        <f t="shared" ca="1" si="43"/>
        <v>260.67596675969997</v>
      </c>
      <c r="H35" s="40">
        <f t="shared" ca="1" si="43"/>
        <v>273.68863452298638</v>
      </c>
      <c r="I35" s="25">
        <f ca="1">_xlfn.RRI(5,C35,H35)</f>
        <v>5.3423724370215586E-2</v>
      </c>
      <c r="M35" s="11" t="str">
        <f t="shared" si="40"/>
        <v>Information</v>
      </c>
      <c r="N35" s="27">
        <f t="shared" si="41"/>
        <v>0.06</v>
      </c>
      <c r="O35" s="27">
        <v>0.02</v>
      </c>
      <c r="P35" s="66">
        <v>1.7814831114784937</v>
      </c>
      <c r="Q35" s="8" t="str">
        <f t="shared" si="42"/>
        <v>|||||||||||||||||</v>
      </c>
    </row>
    <row r="36" spans="1:17" ht="14.5" x14ac:dyDescent="0.35">
      <c r="B36" s="80" t="s">
        <v>20</v>
      </c>
      <c r="C36" s="81">
        <f ca="1">C35/$C$46</f>
        <v>5.5186076759168104E-2</v>
      </c>
      <c r="D36" s="81">
        <f t="shared" ref="D36:H36" ca="1" si="44">D35/$C$46</f>
        <v>5.8929405979466866E-2</v>
      </c>
      <c r="E36" s="81">
        <f t="shared" ca="1" si="44"/>
        <v>6.1863556179738793E-2</v>
      </c>
      <c r="F36" s="81">
        <f t="shared" ca="1" si="44"/>
        <v>6.4946121328803882E-2</v>
      </c>
      <c r="G36" s="81">
        <f t="shared" ca="1" si="44"/>
        <v>6.8185059772827558E-2</v>
      </c>
      <c r="H36" s="81">
        <f t="shared" ca="1" si="44"/>
        <v>7.1588785633223212E-2</v>
      </c>
      <c r="M36" s="11" t="str">
        <f t="shared" si="40"/>
        <v>Tech</v>
      </c>
      <c r="N36" s="27">
        <f t="shared" si="41"/>
        <v>0.03</v>
      </c>
      <c r="O36" s="27">
        <v>0.02</v>
      </c>
      <c r="P36" s="66">
        <v>0.2387209928353542</v>
      </c>
      <c r="Q36" s="8" t="str">
        <f t="shared" si="42"/>
        <v>||</v>
      </c>
    </row>
    <row r="37" spans="1:17" ht="14.5" x14ac:dyDescent="0.35">
      <c r="B37" s="80" t="s">
        <v>21</v>
      </c>
      <c r="C37" s="81">
        <f>C35/C31</f>
        <v>0.61870967741935479</v>
      </c>
      <c r="D37" s="81">
        <f t="shared" ref="D37:H37" ca="1" si="45">D35/D31</f>
        <v>0.63038480752362747</v>
      </c>
      <c r="E37" s="81">
        <f t="shared" ca="1" si="45"/>
        <v>0.63152106995316515</v>
      </c>
      <c r="F37" s="81">
        <f t="shared" ca="1" si="45"/>
        <v>0.63263594808866197</v>
      </c>
      <c r="G37" s="81">
        <f t="shared" ca="1" si="45"/>
        <v>0.63373003997651101</v>
      </c>
      <c r="H37" s="81">
        <f t="shared" ca="1" si="45"/>
        <v>0.63480392156862742</v>
      </c>
      <c r="M37" s="11" t="str">
        <f t="shared" si="40"/>
        <v>Compensation</v>
      </c>
      <c r="N37" s="27">
        <f t="shared" si="41"/>
        <v>0.28000000000000003</v>
      </c>
      <c r="O37" s="27">
        <v>0.01</v>
      </c>
      <c r="P37" s="66">
        <v>1.2809593825580592</v>
      </c>
      <c r="Q37" s="8" t="str">
        <f t="shared" si="42"/>
        <v>||||||||||||</v>
      </c>
    </row>
    <row r="38" spans="1:17" ht="14.5" x14ac:dyDescent="0.35">
      <c r="B38" s="80" t="s">
        <v>22</v>
      </c>
      <c r="C38" s="82"/>
      <c r="D38" s="81">
        <f ca="1">D35/C35-1</f>
        <v>6.7831044352629766E-2</v>
      </c>
      <c r="E38" s="81">
        <f t="shared" ref="E38:H38" ca="1" si="46">E35/D35-1</f>
        <v>4.9790934619200033E-2</v>
      </c>
      <c r="F38" s="81">
        <f t="shared" ca="1" si="46"/>
        <v>4.9828450535707614E-2</v>
      </c>
      <c r="G38" s="81">
        <f t="shared" ca="1" si="46"/>
        <v>4.9871160552080518E-2</v>
      </c>
      <c r="H38" s="81">
        <f t="shared" ca="1" si="46"/>
        <v>4.9918939306291765E-2</v>
      </c>
      <c r="M38" s="11" t="str">
        <f t="shared" si="40"/>
        <v>Information</v>
      </c>
      <c r="N38" s="27">
        <f t="shared" si="41"/>
        <v>0.09</v>
      </c>
      <c r="O38" s="27">
        <v>0.01</v>
      </c>
      <c r="P38" s="66">
        <v>1.2809593825580592</v>
      </c>
      <c r="Q38" s="8" t="str">
        <f t="shared" si="42"/>
        <v>||||||||||||</v>
      </c>
    </row>
    <row r="39" spans="1:17" x14ac:dyDescent="0.3">
      <c r="M39" s="11" t="str">
        <f t="shared" si="40"/>
        <v>G&amp;A</v>
      </c>
      <c r="N39" s="27">
        <f t="shared" si="41"/>
        <v>0.12</v>
      </c>
      <c r="O39" s="27">
        <v>0.01</v>
      </c>
      <c r="P39" s="66">
        <v>1.2809593825580521</v>
      </c>
      <c r="Q39" s="8" t="str">
        <f t="shared" si="42"/>
        <v>||||||||||||</v>
      </c>
    </row>
    <row r="40" spans="1:17" ht="17" x14ac:dyDescent="0.6">
      <c r="A40" s="11" t="s">
        <v>34</v>
      </c>
      <c r="B40" s="64" t="s">
        <v>70</v>
      </c>
      <c r="C40" s="64" t="s">
        <v>44</v>
      </c>
      <c r="M40" s="11" t="str">
        <f t="shared" si="40"/>
        <v>D&amp;A</v>
      </c>
      <c r="N40" s="27">
        <f t="shared" si="41"/>
        <v>4.4999999999999998E-2</v>
      </c>
      <c r="O40" s="27">
        <v>0.01</v>
      </c>
      <c r="P40" s="66">
        <v>6.4614664083514128E-2</v>
      </c>
      <c r="Q40" s="8" t="str">
        <f t="shared" si="42"/>
        <v/>
      </c>
    </row>
    <row r="41" spans="1:17" x14ac:dyDescent="0.3">
      <c r="B41" s="11" t="s">
        <v>32</v>
      </c>
      <c r="C41" s="26">
        <v>0.12</v>
      </c>
      <c r="N41" s="27"/>
      <c r="O41" s="27"/>
      <c r="P41" s="66">
        <v>0.51691731266807039</v>
      </c>
      <c r="Q41" s="8"/>
    </row>
    <row r="42" spans="1:17" x14ac:dyDescent="0.3">
      <c r="B42" s="11" t="s">
        <v>33</v>
      </c>
      <c r="C42" s="90" t="s">
        <v>74</v>
      </c>
      <c r="N42" s="27"/>
      <c r="O42" s="27"/>
      <c r="P42" s="66">
        <v>0.51691731266807039</v>
      </c>
      <c r="Q42" s="8"/>
    </row>
    <row r="43" spans="1:17" x14ac:dyDescent="0.3">
      <c r="B43" s="91" t="s">
        <v>35</v>
      </c>
      <c r="C43" s="54">
        <f ca="1">NPV(N18,D35:H35)</f>
        <v>887.38858744388506</v>
      </c>
      <c r="M43" s="11" t="str">
        <f>M16</f>
        <v>Capex</v>
      </c>
      <c r="N43" s="27">
        <f>O16</f>
        <v>0.05</v>
      </c>
      <c r="O43" s="27">
        <v>0.01</v>
      </c>
      <c r="P43" s="66">
        <v>2.9071804026245331</v>
      </c>
      <c r="Q43" s="8" t="str">
        <f t="shared" si="42"/>
        <v>|||||||||||||||||||||||||||||</v>
      </c>
    </row>
    <row r="44" spans="1:17" x14ac:dyDescent="0.3">
      <c r="B44" s="56" t="s">
        <v>36</v>
      </c>
      <c r="C44" s="57">
        <f ca="1">N19*H25/(1+N18)^5</f>
        <v>2935.6771637367278</v>
      </c>
      <c r="M44" s="11" t="str">
        <f>M17</f>
        <v>NWC</v>
      </c>
      <c r="N44" s="27">
        <f>O17</f>
        <v>0.02</v>
      </c>
      <c r="O44" s="27">
        <v>0.01</v>
      </c>
      <c r="P44" s="66">
        <v>4.5053363470483845</v>
      </c>
      <c r="Q44" s="8" t="str">
        <f t="shared" si="42"/>
        <v>|||||||||||||||||||||||||||||||||||||||||||||</v>
      </c>
    </row>
    <row r="45" spans="1:17" ht="14.5" x14ac:dyDescent="0.35">
      <c r="B45" s="85" t="s">
        <v>37</v>
      </c>
      <c r="C45" s="81">
        <f ca="1">C44/C46</f>
        <v>0.76788560668362871</v>
      </c>
      <c r="M45" s="11" t="str">
        <f>M18</f>
        <v>Discount Rate</v>
      </c>
      <c r="N45" s="27">
        <f>O18</f>
        <v>0.12</v>
      </c>
      <c r="O45" s="27">
        <v>0.01</v>
      </c>
      <c r="P45" s="66"/>
      <c r="Q45" s="8" t="str">
        <f t="shared" si="42"/>
        <v/>
      </c>
    </row>
    <row r="46" spans="1:17" x14ac:dyDescent="0.3">
      <c r="B46" s="68" t="s">
        <v>38</v>
      </c>
      <c r="C46" s="88">
        <f ca="1">SUM(C43:C44)</f>
        <v>3823.065751180613</v>
      </c>
      <c r="M46" s="11" t="str">
        <f>M19</f>
        <v>Exit Multiple</v>
      </c>
      <c r="N46" s="69">
        <f>O19</f>
        <v>12</v>
      </c>
      <c r="O46" s="69">
        <v>1</v>
      </c>
      <c r="P46" s="66"/>
      <c r="Q46" s="8" t="str">
        <f t="shared" si="42"/>
        <v/>
      </c>
    </row>
    <row r="47" spans="1:17" x14ac:dyDescent="0.3">
      <c r="B47" s="56" t="s">
        <v>39</v>
      </c>
      <c r="C47" s="70">
        <f>-1309</f>
        <v>-1309</v>
      </c>
    </row>
    <row r="48" spans="1:17" x14ac:dyDescent="0.3">
      <c r="B48" s="56" t="s">
        <v>40</v>
      </c>
      <c r="C48" s="70">
        <v>166</v>
      </c>
    </row>
    <row r="49" spans="2:15" x14ac:dyDescent="0.3">
      <c r="B49" s="68" t="s">
        <v>41</v>
      </c>
      <c r="C49" s="88">
        <f ca="1">SUM(C46:C48)</f>
        <v>2680.065751180613</v>
      </c>
    </row>
    <row r="50" spans="2:15" x14ac:dyDescent="0.3">
      <c r="B50" s="56" t="s">
        <v>42</v>
      </c>
      <c r="C50" s="30">
        <v>54.3</v>
      </c>
      <c r="M50" s="11" t="str" cm="1">
        <f t="array" ref="M50:M53">TRANSPOSE(S7:V7)</f>
        <v>Yield</v>
      </c>
      <c r="N50" s="37">
        <f>O50</f>
        <v>5.5639969657608646E-2</v>
      </c>
      <c r="O50" s="26" cm="1">
        <f t="array" ref="O50:O53">TRANSPOSE(S29:V29)</f>
        <v>5.5639969657608646E-2</v>
      </c>
    </row>
    <row r="51" spans="2:15" x14ac:dyDescent="0.3">
      <c r="B51" s="68" t="s">
        <v>69</v>
      </c>
      <c r="C51" s="71">
        <f ca="1">C49/C50</f>
        <v>49.356643668151257</v>
      </c>
      <c r="M51" s="11" t="str">
        <v>Growth</v>
      </c>
      <c r="N51" s="37">
        <f>O51-O50</f>
        <v>4.0273482953109507E-2</v>
      </c>
      <c r="O51" s="26">
        <v>9.5913452610718153E-2</v>
      </c>
    </row>
    <row r="52" spans="2:15" x14ac:dyDescent="0.3">
      <c r="B52" s="56" t="s">
        <v>43</v>
      </c>
      <c r="C52" s="30">
        <v>53.28</v>
      </c>
      <c r="M52" s="11" t="str">
        <v>Margin</v>
      </c>
      <c r="N52" s="37">
        <f t="shared" ref="N52:N53" si="47">O52-O51</f>
        <v>1.0710439178827968E-2</v>
      </c>
      <c r="O52" s="26">
        <v>0.10662389178954612</v>
      </c>
    </row>
    <row r="53" spans="2:15" x14ac:dyDescent="0.3">
      <c r="B53" s="68" t="s">
        <v>45</v>
      </c>
      <c r="C53" s="72">
        <f ca="1">C51/C52-1</f>
        <v>-7.3636567789953866E-2</v>
      </c>
      <c r="M53" s="11" t="str">
        <v>Multiple</v>
      </c>
      <c r="N53" s="37">
        <f t="shared" si="47"/>
        <v>0</v>
      </c>
      <c r="O53" s="26">
        <v>0.10662389178954612</v>
      </c>
    </row>
    <row r="54" spans="2:15" x14ac:dyDescent="0.3">
      <c r="M54" s="11" t="s">
        <v>26</v>
      </c>
      <c r="N54" s="37">
        <f>O53</f>
        <v>0.10662389178954612</v>
      </c>
    </row>
    <row r="55" spans="2:15" x14ac:dyDescent="0.3">
      <c r="B55" s="29" t="s">
        <v>60</v>
      </c>
      <c r="C55" s="11">
        <f>-(C52*C50-C47-C48)</f>
        <v>-4036.1039999999994</v>
      </c>
      <c r="D55" s="53">
        <f ca="1">D35</f>
        <v>225.29099373751779</v>
      </c>
      <c r="E55" s="53">
        <f t="shared" ref="E55:G55" ca="1" si="48">E35</f>
        <v>236.50844287699715</v>
      </c>
      <c r="F55" s="53">
        <f t="shared" ca="1" si="48"/>
        <v>248.29329212417085</v>
      </c>
      <c r="G55" s="53">
        <f t="shared" ca="1" si="48"/>
        <v>260.67596675969997</v>
      </c>
      <c r="H55" s="53">
        <f ca="1">H35+H25*N19</f>
        <v>5447.3548685945752</v>
      </c>
    </row>
    <row r="56" spans="2:15" x14ac:dyDescent="0.3">
      <c r="C56" s="27">
        <f ca="1">IRR(C55:H55)</f>
        <v>0.10662389178954612</v>
      </c>
    </row>
    <row r="58" spans="2:15" x14ac:dyDescent="0.3">
      <c r="B58" s="11" t="s">
        <v>19</v>
      </c>
      <c r="C58" s="11">
        <f>-33</f>
        <v>-33</v>
      </c>
      <c r="D58" s="73">
        <f ca="1">-$N$15*D17</f>
        <v>-32.743799999999993</v>
      </c>
      <c r="E58" s="73">
        <f t="shared" ref="E58:H58" ca="1" si="49">-$N$15*E17</f>
        <v>-33.986353500000007</v>
      </c>
      <c r="F58" s="73">
        <f t="shared" ca="1" si="49"/>
        <v>-35.281810125</v>
      </c>
      <c r="G58" s="73">
        <f t="shared" ca="1" si="49"/>
        <v>-36.632694559950004</v>
      </c>
      <c r="H58" s="73">
        <f t="shared" ca="1" si="49"/>
        <v>-38.041663485820507</v>
      </c>
    </row>
    <row r="59" spans="2:15" x14ac:dyDescent="0.3">
      <c r="C59" s="26">
        <f>-C58/C$17</f>
        <v>4.7075606276747506E-2</v>
      </c>
    </row>
    <row r="61" spans="2:15" x14ac:dyDescent="0.3">
      <c r="B61" s="11" t="str">
        <f>B21</f>
        <v>Compensation</v>
      </c>
      <c r="C61" s="26">
        <f>-C21/C$17</f>
        <v>0.28958630527817403</v>
      </c>
      <c r="D61" s="26">
        <f ca="1">C61+($H61-$C61)/5</f>
        <v>0.28766904422253925</v>
      </c>
      <c r="E61" s="26">
        <f t="shared" ref="E61:G61" ca="1" si="50">D61+($H61-$C61)/5</f>
        <v>0.28575178316690447</v>
      </c>
      <c r="F61" s="26">
        <f t="shared" ca="1" si="50"/>
        <v>0.28383452211126969</v>
      </c>
      <c r="G61" s="26">
        <f t="shared" ca="1" si="50"/>
        <v>0.28191726105563492</v>
      </c>
      <c r="H61" s="11">
        <f ca="1">N12</f>
        <v>0.28000000000000003</v>
      </c>
    </row>
    <row r="62" spans="2:15" x14ac:dyDescent="0.3">
      <c r="B62" s="11" t="str">
        <f>B22</f>
        <v>Information</v>
      </c>
      <c r="C62" s="26">
        <f>-C22/C$17</f>
        <v>9.2724679029957208E-2</v>
      </c>
      <c r="D62" s="26">
        <f t="shared" ref="D62:G62" ca="1" si="51">C62+($H62-$C62)/5</f>
        <v>9.2179743223965771E-2</v>
      </c>
      <c r="E62" s="26">
        <f t="shared" ca="1" si="51"/>
        <v>9.1634807417974334E-2</v>
      </c>
      <c r="F62" s="26">
        <f t="shared" ca="1" si="51"/>
        <v>9.1089871611982898E-2</v>
      </c>
      <c r="G62" s="26">
        <f t="shared" ca="1" si="51"/>
        <v>9.0544935805991461E-2</v>
      </c>
      <c r="H62" s="11">
        <f ca="1">N13</f>
        <v>0.09</v>
      </c>
    </row>
    <row r="63" spans="2:15" x14ac:dyDescent="0.3">
      <c r="B63" s="11" t="str">
        <f>B23</f>
        <v>G&amp;A</v>
      </c>
      <c r="C63" s="26">
        <f>-C23/C$17</f>
        <v>0.13124108416547789</v>
      </c>
      <c r="D63" s="26">
        <f t="shared" ref="D63:G63" ca="1" si="52">C63+($H63-$C63)/5</f>
        <v>0.1289928673323823</v>
      </c>
      <c r="E63" s="26">
        <f t="shared" ca="1" si="52"/>
        <v>0.12674465049928671</v>
      </c>
      <c r="F63" s="26">
        <f t="shared" ca="1" si="52"/>
        <v>0.12449643366619113</v>
      </c>
      <c r="G63" s="26">
        <f t="shared" ca="1" si="52"/>
        <v>0.12224821683309556</v>
      </c>
      <c r="H63" s="11">
        <f ca="1">N14</f>
        <v>0.12</v>
      </c>
    </row>
    <row r="65" spans="1:8" ht="17" x14ac:dyDescent="0.6">
      <c r="A65" s="11" t="s">
        <v>34</v>
      </c>
      <c r="B65" s="86" t="s">
        <v>0</v>
      </c>
      <c r="C65" s="87">
        <v>41639</v>
      </c>
      <c r="D65" s="87">
        <f>C65+365</f>
        <v>42004</v>
      </c>
      <c r="E65" s="87">
        <f t="shared" ref="E65:H65" si="53">D65+365</f>
        <v>42369</v>
      </c>
      <c r="F65" s="87">
        <f t="shared" si="53"/>
        <v>42734</v>
      </c>
      <c r="G65" s="87">
        <f t="shared" si="53"/>
        <v>43099</v>
      </c>
      <c r="H65" s="87">
        <f t="shared" si="53"/>
        <v>43464</v>
      </c>
    </row>
    <row r="66" spans="1:8" x14ac:dyDescent="0.3">
      <c r="B66" s="17" t="s">
        <v>73</v>
      </c>
      <c r="C66" s="78">
        <f>C17</f>
        <v>701</v>
      </c>
      <c r="D66" s="79">
        <f t="shared" ref="D66:H66" ca="1" si="54">D17</f>
        <v>727.63999999999987</v>
      </c>
      <c r="E66" s="79">
        <f t="shared" ca="1" si="54"/>
        <v>755.2523000000001</v>
      </c>
      <c r="F66" s="79">
        <f t="shared" ca="1" si="54"/>
        <v>784.04022500000008</v>
      </c>
      <c r="G66" s="79">
        <f t="shared" ca="1" si="54"/>
        <v>814.05987911000011</v>
      </c>
      <c r="H66" s="79">
        <f t="shared" ca="1" si="54"/>
        <v>845.37029968490015</v>
      </c>
    </row>
    <row r="67" spans="1:8" x14ac:dyDescent="0.3">
      <c r="B67" s="29" t="s">
        <v>6</v>
      </c>
      <c r="C67" s="26">
        <f>C18</f>
        <v>4.1604754829123403E-2</v>
      </c>
      <c r="D67" s="26">
        <f t="shared" ref="D67:H67" ca="1" si="55">D18</f>
        <v>3.8002853067046871E-2</v>
      </c>
      <c r="E67" s="26">
        <f t="shared" ca="1" si="55"/>
        <v>3.7947748886812516E-2</v>
      </c>
      <c r="F67" s="26">
        <f t="shared" ca="1" si="55"/>
        <v>3.8116964357473693E-2</v>
      </c>
      <c r="G67" s="26">
        <f t="shared" ca="1" si="55"/>
        <v>3.8288410661583061E-2</v>
      </c>
      <c r="H67" s="26">
        <f t="shared" ca="1" si="55"/>
        <v>3.8462060811953025E-2</v>
      </c>
    </row>
    <row r="69" spans="1:8" x14ac:dyDescent="0.3">
      <c r="B69" s="76" t="s">
        <v>11</v>
      </c>
      <c r="C69" s="76">
        <f>C25</f>
        <v>341</v>
      </c>
      <c r="D69" s="77">
        <f t="shared" ref="D69:H69" ca="1" si="56">D25</f>
        <v>357.38645831669038</v>
      </c>
      <c r="E69" s="77">
        <f t="shared" ca="1" si="56"/>
        <v>374.50602066932953</v>
      </c>
      <c r="F69" s="77">
        <f t="shared" ca="1" si="56"/>
        <v>392.47420712389442</v>
      </c>
      <c r="G69" s="77">
        <f t="shared" ca="1" si="56"/>
        <v>411.33597954321664</v>
      </c>
      <c r="H69" s="77">
        <f t="shared" ca="1" si="56"/>
        <v>431.13885283929903</v>
      </c>
    </row>
    <row r="70" spans="1:8" x14ac:dyDescent="0.3">
      <c r="B70" s="29" t="s">
        <v>13</v>
      </c>
      <c r="C70" s="26">
        <f>C26</f>
        <v>0.48644793152639088</v>
      </c>
      <c r="D70" s="26">
        <f t="shared" ref="D70:H70" ca="1" si="57">D26</f>
        <v>0.49115834522111268</v>
      </c>
      <c r="E70" s="26">
        <f t="shared" ca="1" si="57"/>
        <v>0.49586875891583443</v>
      </c>
      <c r="F70" s="26">
        <f t="shared" ca="1" si="57"/>
        <v>0.50057917261055629</v>
      </c>
      <c r="G70" s="26">
        <f t="shared" ca="1" si="57"/>
        <v>0.50528958630527809</v>
      </c>
      <c r="H70" s="26">
        <f t="shared" ca="1" si="57"/>
        <v>0.5099999999999999</v>
      </c>
    </row>
    <row r="72" spans="1:8" x14ac:dyDescent="0.3">
      <c r="B72" s="74" t="s">
        <v>18</v>
      </c>
      <c r="C72" s="75">
        <f>C35</f>
        <v>210.98</v>
      </c>
      <c r="D72" s="75">
        <f t="shared" ref="D72:H72" ca="1" si="58">D35</f>
        <v>225.29099373751779</v>
      </c>
      <c r="E72" s="75">
        <f t="shared" ca="1" si="58"/>
        <v>236.50844287699715</v>
      </c>
      <c r="F72" s="75">
        <f t="shared" ca="1" si="58"/>
        <v>248.29329212417085</v>
      </c>
      <c r="G72" s="75">
        <f t="shared" ca="1" si="58"/>
        <v>260.67596675969997</v>
      </c>
      <c r="H72" s="75">
        <f t="shared" ca="1" si="58"/>
        <v>273.68863452298638</v>
      </c>
    </row>
    <row r="73" spans="1:8" x14ac:dyDescent="0.3">
      <c r="B73" s="29" t="s">
        <v>20</v>
      </c>
      <c r="C73" s="26">
        <f t="shared" ref="C73:H75" ca="1" si="59">C36</f>
        <v>5.5186076759168104E-2</v>
      </c>
      <c r="D73" s="26">
        <f t="shared" ca="1" si="59"/>
        <v>5.8929405979466866E-2</v>
      </c>
      <c r="E73" s="26">
        <f t="shared" ca="1" si="59"/>
        <v>6.1863556179738793E-2</v>
      </c>
      <c r="F73" s="26">
        <f t="shared" ca="1" si="59"/>
        <v>6.4946121328803882E-2</v>
      </c>
      <c r="G73" s="26">
        <f t="shared" ca="1" si="59"/>
        <v>6.8185059772827558E-2</v>
      </c>
      <c r="H73" s="26">
        <f t="shared" ca="1" si="59"/>
        <v>7.1588785633223212E-2</v>
      </c>
    </row>
    <row r="74" spans="1:8" x14ac:dyDescent="0.3">
      <c r="B74" s="29" t="s">
        <v>21</v>
      </c>
      <c r="C74" s="26">
        <f t="shared" si="59"/>
        <v>0.61870967741935479</v>
      </c>
      <c r="D74" s="26">
        <f t="shared" ca="1" si="59"/>
        <v>0.63038480752362747</v>
      </c>
      <c r="E74" s="26">
        <f t="shared" ca="1" si="59"/>
        <v>0.63152106995316515</v>
      </c>
      <c r="F74" s="26">
        <f t="shared" ca="1" si="59"/>
        <v>0.63263594808866197</v>
      </c>
      <c r="G74" s="26">
        <f t="shared" ca="1" si="59"/>
        <v>0.63373003997651101</v>
      </c>
      <c r="H74" s="26">
        <f t="shared" ca="1" si="59"/>
        <v>0.63480392156862742</v>
      </c>
    </row>
    <row r="75" spans="1:8" x14ac:dyDescent="0.3">
      <c r="B75" s="29" t="s">
        <v>22</v>
      </c>
      <c r="C75" s="26">
        <f t="shared" si="59"/>
        <v>0</v>
      </c>
      <c r="D75" s="26">
        <f t="shared" ca="1" si="59"/>
        <v>6.7831044352629766E-2</v>
      </c>
      <c r="E75" s="26">
        <f t="shared" ca="1" si="59"/>
        <v>4.9790934619200033E-2</v>
      </c>
      <c r="F75" s="26">
        <f t="shared" ca="1" si="59"/>
        <v>4.9828450535707614E-2</v>
      </c>
      <c r="G75" s="26">
        <f t="shared" ca="1" si="59"/>
        <v>4.9871160552080518E-2</v>
      </c>
      <c r="H75" s="26">
        <f t="shared" ca="1" si="59"/>
        <v>4.9918939306291765E-2</v>
      </c>
    </row>
  </sheetData>
  <mergeCells count="1">
    <mergeCell ref="P32:Q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9187-0A70-449A-965F-29B0BE6AE93B}">
  <dimension ref="B2:J23"/>
  <sheetViews>
    <sheetView showGridLines="0" zoomScale="110" workbookViewId="0">
      <selection activeCell="E2" sqref="E2:F13"/>
    </sheetView>
  </sheetViews>
  <sheetFormatPr defaultRowHeight="14.5" x14ac:dyDescent="0.35"/>
  <cols>
    <col min="2" max="2" width="25.6328125" customWidth="1"/>
    <col min="3" max="3" width="15.6328125" customWidth="1"/>
    <col min="5" max="5" width="25.6328125" customWidth="1"/>
    <col min="6" max="6" width="15.6328125" customWidth="1"/>
  </cols>
  <sheetData>
    <row r="2" spans="2:6" ht="16" x14ac:dyDescent="0.5">
      <c r="B2" s="1" t="s">
        <v>46</v>
      </c>
      <c r="C2" s="1" t="s">
        <v>47</v>
      </c>
      <c r="E2" s="1" t="s">
        <v>46</v>
      </c>
      <c r="F2" s="1" t="s">
        <v>47</v>
      </c>
    </row>
    <row r="3" spans="2:6" x14ac:dyDescent="0.35">
      <c r="B3" t="s">
        <v>48</v>
      </c>
      <c r="C3" s="5">
        <v>12.3</v>
      </c>
      <c r="E3" t="s">
        <v>48</v>
      </c>
      <c r="F3" s="5">
        <v>12.3</v>
      </c>
    </row>
    <row r="4" spans="2:6" x14ac:dyDescent="0.35">
      <c r="B4" t="s">
        <v>49</v>
      </c>
      <c r="C4" s="5">
        <v>18.7</v>
      </c>
      <c r="E4" t="s">
        <v>49</v>
      </c>
      <c r="F4" s="5">
        <v>18.7</v>
      </c>
    </row>
    <row r="5" spans="2:6" x14ac:dyDescent="0.35">
      <c r="B5" t="s">
        <v>50</v>
      </c>
      <c r="C5" s="5">
        <v>15.4</v>
      </c>
      <c r="E5" t="s">
        <v>50</v>
      </c>
      <c r="F5" s="5">
        <v>15.4</v>
      </c>
    </row>
    <row r="6" spans="2:6" x14ac:dyDescent="0.35">
      <c r="B6" t="s">
        <v>51</v>
      </c>
      <c r="C6" s="5">
        <v>12.7</v>
      </c>
      <c r="E6" t="s">
        <v>51</v>
      </c>
      <c r="F6" s="5">
        <v>12.7</v>
      </c>
    </row>
    <row r="7" spans="2:6" x14ac:dyDescent="0.35">
      <c r="B7" t="s">
        <v>52</v>
      </c>
      <c r="C7" s="5">
        <v>3.3</v>
      </c>
      <c r="E7" t="s">
        <v>52</v>
      </c>
      <c r="F7" s="5">
        <v>3.3</v>
      </c>
    </row>
    <row r="8" spans="2:6" x14ac:dyDescent="0.35">
      <c r="B8" t="s">
        <v>53</v>
      </c>
      <c r="C8" s="5">
        <v>29.1</v>
      </c>
      <c r="E8" t="s">
        <v>55</v>
      </c>
      <c r="F8" s="5">
        <v>9.1999999999999993</v>
      </c>
    </row>
    <row r="9" spans="2:6" x14ac:dyDescent="0.35">
      <c r="B9" t="s">
        <v>54</v>
      </c>
      <c r="C9" s="5">
        <v>30.7</v>
      </c>
      <c r="E9" t="s">
        <v>56</v>
      </c>
      <c r="F9" s="5">
        <v>11.7</v>
      </c>
    </row>
    <row r="10" spans="2:6" x14ac:dyDescent="0.35">
      <c r="B10" t="s">
        <v>55</v>
      </c>
      <c r="C10" s="5">
        <v>9.1999999999999993</v>
      </c>
      <c r="E10" t="s">
        <v>57</v>
      </c>
      <c r="F10" s="5">
        <v>16.3</v>
      </c>
    </row>
    <row r="11" spans="2:6" x14ac:dyDescent="0.35">
      <c r="B11" t="s">
        <v>56</v>
      </c>
      <c r="C11" s="5">
        <v>11.7</v>
      </c>
      <c r="E11" s="4" t="s">
        <v>58</v>
      </c>
      <c r="F11" s="6">
        <f>MEDIAN(F3:F10)</f>
        <v>12.5</v>
      </c>
    </row>
    <row r="12" spans="2:6" ht="15" thickBot="1" x14ac:dyDescent="0.4">
      <c r="B12" t="s">
        <v>57</v>
      </c>
      <c r="C12" s="5">
        <v>16.3</v>
      </c>
      <c r="F12" s="3"/>
    </row>
    <row r="13" spans="2:6" ht="15" thickBot="1" x14ac:dyDescent="0.4">
      <c r="B13" s="4" t="s">
        <v>58</v>
      </c>
      <c r="C13" s="6">
        <f>MEDIAN(C3:C12)</f>
        <v>14.05</v>
      </c>
      <c r="E13" s="2" t="s">
        <v>59</v>
      </c>
      <c r="F13" s="7">
        <v>11.836082111436948</v>
      </c>
    </row>
    <row r="14" spans="2:6" ht="15" thickBot="1" x14ac:dyDescent="0.4">
      <c r="C14" s="3"/>
    </row>
    <row r="15" spans="2:6" ht="15" thickBot="1" x14ac:dyDescent="0.4">
      <c r="B15" s="2" t="s">
        <v>59</v>
      </c>
      <c r="C15" s="7">
        <f>-Sheet1!C55/Sheet1!C25</f>
        <v>11.836082111436948</v>
      </c>
    </row>
    <row r="23" spans="10:10" x14ac:dyDescent="0.35">
      <c r="J23" s="89">
        <f>50/3000</f>
        <v>1.6666666666666666E-2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2024-09-15T19:28:02Z</dcterms:modified>
</cp:coreProperties>
</file>