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urface\Desktop\JDCC #13\"/>
    </mc:Choice>
  </mc:AlternateContent>
  <xr:revisionPtr revIDLastSave="0" documentId="13_ncr:1_{02DA9F8D-2BAA-4B31-86C8-18ADD5F7A2C4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Model" sheetId="1" r:id="rId1"/>
    <sheet name="Comps" sheetId="2" r:id="rId2"/>
  </sheets>
  <definedNames>
    <definedName name="_xlchart.v1.0" hidden="1">Model!$B$102:$B$109</definedName>
    <definedName name="_xlchart.v1.1" hidden="1">Model!$C$102:$C$109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1" l="1"/>
  <c r="T34" i="1"/>
  <c r="U34" i="1"/>
  <c r="V34" i="1"/>
  <c r="S35" i="1"/>
  <c r="T35" i="1"/>
  <c r="U35" i="1"/>
  <c r="V35" i="1"/>
  <c r="S36" i="1"/>
  <c r="T36" i="1"/>
  <c r="U36" i="1"/>
  <c r="V36" i="1"/>
  <c r="R35" i="1"/>
  <c r="R36" i="1"/>
  <c r="R34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W41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5" i="1"/>
  <c r="AX26" i="1"/>
  <c r="AX27" i="1"/>
  <c r="AX28" i="1"/>
  <c r="AX29" i="1"/>
  <c r="AX30" i="1"/>
  <c r="AX31" i="1"/>
  <c r="AX32" i="1"/>
  <c r="AN6" i="1"/>
  <c r="AO6" i="1"/>
  <c r="AP6" i="1"/>
  <c r="AQ6" i="1"/>
  <c r="AR6" i="1"/>
  <c r="AS6" i="1"/>
  <c r="AT6" i="1"/>
  <c r="AU6" i="1"/>
  <c r="AV6" i="1"/>
  <c r="AW6" i="1"/>
  <c r="AN7" i="1"/>
  <c r="AO7" i="1"/>
  <c r="AP7" i="1"/>
  <c r="AQ7" i="1"/>
  <c r="AR7" i="1"/>
  <c r="AS7" i="1"/>
  <c r="AT7" i="1"/>
  <c r="AU7" i="1"/>
  <c r="AV7" i="1"/>
  <c r="AW7" i="1"/>
  <c r="AN8" i="1"/>
  <c r="AO8" i="1"/>
  <c r="AP8" i="1"/>
  <c r="AQ8" i="1"/>
  <c r="AR8" i="1"/>
  <c r="AS8" i="1"/>
  <c r="AT8" i="1"/>
  <c r="AU8" i="1"/>
  <c r="AV8" i="1"/>
  <c r="AW8" i="1"/>
  <c r="AN9" i="1"/>
  <c r="AO9" i="1"/>
  <c r="AP9" i="1"/>
  <c r="AQ9" i="1"/>
  <c r="AR9" i="1"/>
  <c r="AS9" i="1"/>
  <c r="AT9" i="1"/>
  <c r="AU9" i="1"/>
  <c r="AV9" i="1"/>
  <c r="AW9" i="1"/>
  <c r="AN10" i="1"/>
  <c r="AO10" i="1"/>
  <c r="AP10" i="1"/>
  <c r="AQ10" i="1"/>
  <c r="AR10" i="1"/>
  <c r="AS10" i="1"/>
  <c r="AT10" i="1"/>
  <c r="AU10" i="1"/>
  <c r="AV10" i="1"/>
  <c r="AW10" i="1"/>
  <c r="AN11" i="1"/>
  <c r="AO11" i="1"/>
  <c r="AP11" i="1"/>
  <c r="AQ11" i="1"/>
  <c r="AR11" i="1"/>
  <c r="AS11" i="1"/>
  <c r="AT11" i="1"/>
  <c r="AU11" i="1"/>
  <c r="AV11" i="1"/>
  <c r="AW11" i="1"/>
  <c r="AN12" i="1"/>
  <c r="AO12" i="1"/>
  <c r="AP12" i="1"/>
  <c r="AQ12" i="1"/>
  <c r="AR12" i="1"/>
  <c r="AS12" i="1"/>
  <c r="AT12" i="1"/>
  <c r="AU12" i="1"/>
  <c r="AV12" i="1"/>
  <c r="AW12" i="1"/>
  <c r="AN13" i="1"/>
  <c r="AO13" i="1"/>
  <c r="AP13" i="1"/>
  <c r="AQ13" i="1"/>
  <c r="AR13" i="1"/>
  <c r="AS13" i="1"/>
  <c r="AT13" i="1"/>
  <c r="AU13" i="1"/>
  <c r="AV13" i="1"/>
  <c r="AW13" i="1"/>
  <c r="AN14" i="1"/>
  <c r="AO14" i="1"/>
  <c r="AP14" i="1"/>
  <c r="AQ14" i="1"/>
  <c r="AR14" i="1"/>
  <c r="AS14" i="1"/>
  <c r="AT14" i="1"/>
  <c r="AU14" i="1"/>
  <c r="AV14" i="1"/>
  <c r="AW14" i="1"/>
  <c r="AN15" i="1"/>
  <c r="AO15" i="1"/>
  <c r="AP15" i="1"/>
  <c r="AQ15" i="1"/>
  <c r="AR15" i="1"/>
  <c r="AS15" i="1"/>
  <c r="AT15" i="1"/>
  <c r="AU15" i="1"/>
  <c r="AV15" i="1"/>
  <c r="AW15" i="1"/>
  <c r="AN16" i="1"/>
  <c r="AO16" i="1"/>
  <c r="AP16" i="1"/>
  <c r="AQ16" i="1"/>
  <c r="AR16" i="1"/>
  <c r="AS16" i="1"/>
  <c r="AT16" i="1"/>
  <c r="AU16" i="1"/>
  <c r="AV16" i="1"/>
  <c r="AW16" i="1"/>
  <c r="AN17" i="1"/>
  <c r="AO17" i="1"/>
  <c r="AP17" i="1"/>
  <c r="AQ17" i="1"/>
  <c r="AR17" i="1"/>
  <c r="AS17" i="1"/>
  <c r="AT17" i="1"/>
  <c r="AU17" i="1"/>
  <c r="AV17" i="1"/>
  <c r="AW17" i="1"/>
  <c r="AN18" i="1"/>
  <c r="AO18" i="1"/>
  <c r="AP18" i="1"/>
  <c r="AQ18" i="1"/>
  <c r="AR18" i="1"/>
  <c r="AS18" i="1"/>
  <c r="AT18" i="1"/>
  <c r="AU18" i="1"/>
  <c r="AV18" i="1"/>
  <c r="AW18" i="1"/>
  <c r="AN19" i="1"/>
  <c r="AO19" i="1"/>
  <c r="AP19" i="1"/>
  <c r="AQ19" i="1"/>
  <c r="AR19" i="1"/>
  <c r="AS19" i="1"/>
  <c r="AT19" i="1"/>
  <c r="AU19" i="1"/>
  <c r="AV19" i="1"/>
  <c r="AW19" i="1"/>
  <c r="AN20" i="1"/>
  <c r="AO20" i="1"/>
  <c r="AP20" i="1"/>
  <c r="AQ20" i="1"/>
  <c r="AR20" i="1"/>
  <c r="AS20" i="1"/>
  <c r="AT20" i="1"/>
  <c r="AU20" i="1"/>
  <c r="AV20" i="1"/>
  <c r="AW20" i="1"/>
  <c r="AN21" i="1"/>
  <c r="AO21" i="1"/>
  <c r="AP21" i="1"/>
  <c r="AQ21" i="1"/>
  <c r="AR21" i="1"/>
  <c r="AS21" i="1"/>
  <c r="AT21" i="1"/>
  <c r="AU21" i="1"/>
  <c r="AV21" i="1"/>
  <c r="AW21" i="1"/>
  <c r="AN25" i="1"/>
  <c r="AO25" i="1"/>
  <c r="AQ25" i="1"/>
  <c r="AR25" i="1"/>
  <c r="AS25" i="1"/>
  <c r="AT25" i="1"/>
  <c r="AU25" i="1"/>
  <c r="AV25" i="1"/>
  <c r="AW25" i="1"/>
  <c r="AN26" i="1"/>
  <c r="AO26" i="1"/>
  <c r="AP26" i="1"/>
  <c r="AR26" i="1"/>
  <c r="AS26" i="1"/>
  <c r="AT26" i="1"/>
  <c r="AU26" i="1"/>
  <c r="AV26" i="1"/>
  <c r="AW26" i="1"/>
  <c r="AN27" i="1"/>
  <c r="AO27" i="1"/>
  <c r="AP27" i="1"/>
  <c r="AQ27" i="1"/>
  <c r="AS27" i="1"/>
  <c r="AT27" i="1"/>
  <c r="AU27" i="1"/>
  <c r="AV27" i="1"/>
  <c r="AW27" i="1"/>
  <c r="AN28" i="1"/>
  <c r="AO28" i="1"/>
  <c r="AP28" i="1"/>
  <c r="AQ28" i="1"/>
  <c r="AR28" i="1"/>
  <c r="AT28" i="1"/>
  <c r="AU28" i="1"/>
  <c r="AV28" i="1"/>
  <c r="AW28" i="1"/>
  <c r="AN29" i="1"/>
  <c r="AO29" i="1"/>
  <c r="AP29" i="1"/>
  <c r="AQ29" i="1"/>
  <c r="AR29" i="1"/>
  <c r="AS29" i="1"/>
  <c r="AU29" i="1"/>
  <c r="AV29" i="1"/>
  <c r="AW29" i="1"/>
  <c r="AN30" i="1"/>
  <c r="AO30" i="1"/>
  <c r="AP30" i="1"/>
  <c r="AQ30" i="1"/>
  <c r="AR30" i="1"/>
  <c r="AS30" i="1"/>
  <c r="AT30" i="1"/>
  <c r="AV30" i="1"/>
  <c r="AW30" i="1"/>
  <c r="AN31" i="1"/>
  <c r="AO31" i="1"/>
  <c r="AP31" i="1"/>
  <c r="AQ31" i="1"/>
  <c r="AR31" i="1"/>
  <c r="AS31" i="1"/>
  <c r="AT31" i="1"/>
  <c r="AU31" i="1"/>
  <c r="AW31" i="1"/>
  <c r="AN32" i="1"/>
  <c r="AO32" i="1"/>
  <c r="AP32" i="1"/>
  <c r="AQ32" i="1"/>
  <c r="AR32" i="1"/>
  <c r="AS32" i="1"/>
  <c r="AT32" i="1"/>
  <c r="AU32" i="1"/>
  <c r="AV32" i="1"/>
  <c r="AN33" i="1"/>
  <c r="AO33" i="1"/>
  <c r="AP33" i="1"/>
  <c r="AQ33" i="1"/>
  <c r="AR33" i="1"/>
  <c r="AS33" i="1"/>
  <c r="AT33" i="1"/>
  <c r="AU33" i="1"/>
  <c r="AV33" i="1"/>
  <c r="AW33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X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X9" i="1"/>
  <c r="Y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X10" i="1"/>
  <c r="Y10" i="1"/>
  <c r="Z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X11" i="1"/>
  <c r="Y11" i="1"/>
  <c r="Z11" i="1"/>
  <c r="AA11" i="1"/>
  <c r="AC11" i="1"/>
  <c r="AD11" i="1"/>
  <c r="AE11" i="1"/>
  <c r="AF11" i="1"/>
  <c r="AG11" i="1"/>
  <c r="AH11" i="1"/>
  <c r="AI11" i="1"/>
  <c r="AJ11" i="1"/>
  <c r="AK11" i="1"/>
  <c r="AL11" i="1"/>
  <c r="AM11" i="1"/>
  <c r="X12" i="1"/>
  <c r="Y12" i="1"/>
  <c r="Z12" i="1"/>
  <c r="AA12" i="1"/>
  <c r="AB12" i="1"/>
  <c r="AD12" i="1"/>
  <c r="AE12" i="1"/>
  <c r="AF12" i="1"/>
  <c r="AG12" i="1"/>
  <c r="AH12" i="1"/>
  <c r="AI12" i="1"/>
  <c r="AJ12" i="1"/>
  <c r="AK12" i="1"/>
  <c r="AL12" i="1"/>
  <c r="AM12" i="1"/>
  <c r="X13" i="1"/>
  <c r="Y13" i="1"/>
  <c r="Z13" i="1"/>
  <c r="AA13" i="1"/>
  <c r="AB13" i="1"/>
  <c r="AC13" i="1"/>
  <c r="AE13" i="1"/>
  <c r="AF13" i="1"/>
  <c r="AG13" i="1"/>
  <c r="AH13" i="1"/>
  <c r="AI13" i="1"/>
  <c r="AJ13" i="1"/>
  <c r="AK13" i="1"/>
  <c r="AL13" i="1"/>
  <c r="AM13" i="1"/>
  <c r="X14" i="1"/>
  <c r="Y14" i="1"/>
  <c r="Z14" i="1"/>
  <c r="AA14" i="1"/>
  <c r="AB14" i="1"/>
  <c r="AC14" i="1"/>
  <c r="AD14" i="1"/>
  <c r="AF14" i="1"/>
  <c r="AG14" i="1"/>
  <c r="AH14" i="1"/>
  <c r="AI14" i="1"/>
  <c r="AJ14" i="1"/>
  <c r="AK14" i="1"/>
  <c r="AL14" i="1"/>
  <c r="AM14" i="1"/>
  <c r="X15" i="1"/>
  <c r="Y15" i="1"/>
  <c r="Z15" i="1"/>
  <c r="AA15" i="1"/>
  <c r="AB15" i="1"/>
  <c r="AC15" i="1"/>
  <c r="AD15" i="1"/>
  <c r="AE15" i="1"/>
  <c r="AG15" i="1"/>
  <c r="AH15" i="1"/>
  <c r="AI15" i="1"/>
  <c r="AJ15" i="1"/>
  <c r="AK15" i="1"/>
  <c r="AL15" i="1"/>
  <c r="AM15" i="1"/>
  <c r="X16" i="1"/>
  <c r="Y16" i="1"/>
  <c r="Z16" i="1"/>
  <c r="AA16" i="1"/>
  <c r="AB16" i="1"/>
  <c r="AC16" i="1"/>
  <c r="AD16" i="1"/>
  <c r="AE16" i="1"/>
  <c r="AF16" i="1"/>
  <c r="AH16" i="1"/>
  <c r="AI16" i="1"/>
  <c r="AJ16" i="1"/>
  <c r="AK16" i="1"/>
  <c r="AL16" i="1"/>
  <c r="AM16" i="1"/>
  <c r="X17" i="1"/>
  <c r="Y17" i="1"/>
  <c r="Z17" i="1"/>
  <c r="AA17" i="1"/>
  <c r="AB17" i="1"/>
  <c r="AC17" i="1"/>
  <c r="AD17" i="1"/>
  <c r="AE17" i="1"/>
  <c r="AF17" i="1"/>
  <c r="AG17" i="1"/>
  <c r="AI17" i="1"/>
  <c r="AJ17" i="1"/>
  <c r="AK17" i="1"/>
  <c r="AL17" i="1"/>
  <c r="AM17" i="1"/>
  <c r="X18" i="1"/>
  <c r="Y18" i="1"/>
  <c r="Z18" i="1"/>
  <c r="AA18" i="1"/>
  <c r="AB18" i="1"/>
  <c r="AC18" i="1"/>
  <c r="AD18" i="1"/>
  <c r="AE18" i="1"/>
  <c r="AF18" i="1"/>
  <c r="AG18" i="1"/>
  <c r="AH18" i="1"/>
  <c r="AJ18" i="1"/>
  <c r="AK18" i="1"/>
  <c r="AL18" i="1"/>
  <c r="AM18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K19" i="1"/>
  <c r="AL19" i="1"/>
  <c r="AM19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L20" i="1"/>
  <c r="AM20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M21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5" i="1"/>
  <c r="W26" i="1"/>
  <c r="W27" i="1"/>
  <c r="W28" i="1"/>
  <c r="W29" i="1"/>
  <c r="W30" i="1"/>
  <c r="W31" i="1"/>
  <c r="W32" i="1"/>
  <c r="W33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3" i="1"/>
  <c r="Q64" i="1"/>
  <c r="Q65" i="1"/>
  <c r="Q66" i="1"/>
  <c r="Q67" i="1"/>
  <c r="Q68" i="1"/>
  <c r="Q69" i="1"/>
  <c r="Q70" i="1"/>
  <c r="Q71" i="1"/>
  <c r="Q44" i="1"/>
  <c r="P71" i="1"/>
  <c r="P68" i="1"/>
  <c r="P69" i="1"/>
  <c r="P70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S37" i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AI37" i="1" s="1"/>
  <c r="AJ37" i="1" s="1"/>
  <c r="AK37" i="1" s="1"/>
  <c r="AL37" i="1" s="1"/>
  <c r="AM37" i="1" s="1"/>
  <c r="AN37" i="1" s="1"/>
  <c r="AO37" i="1" s="1"/>
  <c r="AP37" i="1" s="1"/>
  <c r="AQ37" i="1" s="1"/>
  <c r="AR37" i="1" s="1"/>
  <c r="AS37" i="1" s="1"/>
  <c r="AT37" i="1" s="1"/>
  <c r="AU37" i="1" s="1"/>
  <c r="AV37" i="1" s="1"/>
  <c r="AW37" i="1" s="1"/>
  <c r="AX37" i="1" s="1"/>
  <c r="P44" i="1"/>
  <c r="C68" i="1"/>
  <c r="F20" i="2"/>
  <c r="F19" i="2"/>
  <c r="F18" i="2"/>
  <c r="H12" i="2"/>
  <c r="H11" i="2"/>
  <c r="H10" i="2"/>
  <c r="H9" i="2"/>
  <c r="H8" i="2"/>
  <c r="H7" i="2"/>
  <c r="H6" i="2"/>
  <c r="H5" i="2"/>
  <c r="H4" i="2"/>
  <c r="H3" i="2"/>
  <c r="C11" i="2"/>
  <c r="C10" i="2"/>
  <c r="C9" i="2"/>
  <c r="C8" i="2"/>
  <c r="C7" i="2"/>
  <c r="C6" i="2"/>
  <c r="C5" i="2"/>
  <c r="C4" i="2"/>
  <c r="C12" i="2" s="1"/>
  <c r="C3" i="2"/>
  <c r="I4" i="2"/>
  <c r="I5" i="2"/>
  <c r="I6" i="2"/>
  <c r="I7" i="2"/>
  <c r="I8" i="2"/>
  <c r="I9" i="2"/>
  <c r="I10" i="2"/>
  <c r="I11" i="2"/>
  <c r="I3" i="2"/>
  <c r="E12" i="2"/>
  <c r="F12" i="2"/>
  <c r="G12" i="2"/>
  <c r="D12" i="2"/>
  <c r="C96" i="1"/>
  <c r="D22" i="1"/>
  <c r="E22" i="1"/>
  <c r="F22" i="1"/>
  <c r="G22" i="1"/>
  <c r="C18" i="1"/>
  <c r="S44" i="1" l="1" a="1"/>
  <c r="I12" i="2"/>
  <c r="C8" i="1"/>
  <c r="C7" i="1"/>
  <c r="C14" i="2" s="1"/>
  <c r="C50" i="1"/>
  <c r="C55" i="1"/>
  <c r="C95" i="1" l="1"/>
  <c r="E14" i="2"/>
  <c r="T45" i="1"/>
  <c r="T53" i="1"/>
  <c r="T61" i="1"/>
  <c r="T69" i="1"/>
  <c r="T46" i="1"/>
  <c r="T54" i="1"/>
  <c r="T62" i="1"/>
  <c r="T70" i="1"/>
  <c r="T47" i="1"/>
  <c r="T55" i="1"/>
  <c r="T63" i="1"/>
  <c r="T71" i="1"/>
  <c r="T48" i="1"/>
  <c r="T64" i="1"/>
  <c r="T59" i="1"/>
  <c r="T52" i="1"/>
  <c r="T56" i="1"/>
  <c r="T68" i="1"/>
  <c r="T49" i="1"/>
  <c r="T57" i="1"/>
  <c r="T65" i="1"/>
  <c r="T50" i="1"/>
  <c r="T58" i="1"/>
  <c r="T66" i="1"/>
  <c r="T51" i="1"/>
  <c r="T67" i="1"/>
  <c r="T60" i="1"/>
  <c r="S44" i="1"/>
  <c r="T44" i="1" s="1"/>
  <c r="C41" i="1"/>
  <c r="C42" i="1"/>
  <c r="D29" i="1"/>
  <c r="S22" i="1" l="1"/>
  <c r="R23" i="1"/>
  <c r="U22" i="1"/>
  <c r="V23" i="1"/>
  <c r="T22" i="1"/>
  <c r="S23" i="1"/>
  <c r="R22" i="1"/>
  <c r="U23" i="1"/>
  <c r="V22" i="1"/>
  <c r="D14" i="2"/>
  <c r="I14" i="2" s="1"/>
  <c r="T23" i="1"/>
  <c r="R24" i="1"/>
  <c r="H14" i="2"/>
  <c r="E29" i="1"/>
  <c r="D18" i="1"/>
  <c r="C43" i="1"/>
  <c r="C46" i="1"/>
  <c r="C51" i="1"/>
  <c r="AQ22" i="1" l="1"/>
  <c r="AB22" i="1"/>
  <c r="AJ22" i="1"/>
  <c r="AD22" i="1"/>
  <c r="W22" i="1"/>
  <c r="AT22" i="1"/>
  <c r="X22" i="1"/>
  <c r="AN22" i="1"/>
  <c r="Y22" i="1"/>
  <c r="Q60" i="1"/>
  <c r="AW22" i="1"/>
  <c r="AH22" i="1"/>
  <c r="AP22" i="1"/>
  <c r="AI22" i="1"/>
  <c r="AR22" i="1"/>
  <c r="AC22" i="1"/>
  <c r="AK22" i="1"/>
  <c r="AX22" i="1"/>
  <c r="AS22" i="1"/>
  <c r="AL22" i="1"/>
  <c r="AE22" i="1"/>
  <c r="AU22" i="1"/>
  <c r="AF22" i="1"/>
  <c r="AV22" i="1"/>
  <c r="AG22" i="1"/>
  <c r="AO22" i="1"/>
  <c r="Z22" i="1"/>
  <c r="AA22" i="1"/>
  <c r="AN24" i="1"/>
  <c r="AW24" i="1"/>
  <c r="AC24" i="1"/>
  <c r="AK24" i="1"/>
  <c r="AE24" i="1"/>
  <c r="AR24" i="1"/>
  <c r="X24" i="1"/>
  <c r="AX24" i="1"/>
  <c r="Y24" i="1"/>
  <c r="Z24" i="1"/>
  <c r="AU24" i="1"/>
  <c r="AI24" i="1"/>
  <c r="AJ24" i="1"/>
  <c r="AP24" i="1"/>
  <c r="AD24" i="1"/>
  <c r="AL24" i="1"/>
  <c r="AQ24" i="1"/>
  <c r="AM24" i="1"/>
  <c r="AF24" i="1"/>
  <c r="AS24" i="1"/>
  <c r="AG24" i="1"/>
  <c r="W24" i="1"/>
  <c r="AT24" i="1"/>
  <c r="AH24" i="1"/>
  <c r="AA24" i="1"/>
  <c r="AV24" i="1"/>
  <c r="AB24" i="1"/>
  <c r="Q62" i="1"/>
  <c r="AP23" i="1"/>
  <c r="AC23" i="1"/>
  <c r="AK23" i="1"/>
  <c r="AR23" i="1"/>
  <c r="AE23" i="1"/>
  <c r="AX23" i="1"/>
  <c r="X23" i="1"/>
  <c r="AT23" i="1"/>
  <c r="Y23" i="1"/>
  <c r="AU23" i="1"/>
  <c r="Z23" i="1"/>
  <c r="AI23" i="1"/>
  <c r="AW23" i="1"/>
  <c r="AJ23" i="1"/>
  <c r="AQ23" i="1"/>
  <c r="AD23" i="1"/>
  <c r="AL23" i="1"/>
  <c r="AM23" i="1"/>
  <c r="AS23" i="1"/>
  <c r="AF23" i="1"/>
  <c r="W23" i="1"/>
  <c r="AG23" i="1"/>
  <c r="AH23" i="1"/>
  <c r="AV23" i="1"/>
  <c r="AA23" i="1"/>
  <c r="Q61" i="1"/>
  <c r="AO23" i="1"/>
  <c r="AB23" i="1"/>
  <c r="F29" i="1"/>
  <c r="E18" i="1"/>
  <c r="G29" i="1" l="1"/>
  <c r="F18" i="1"/>
  <c r="H29" i="1" l="1"/>
  <c r="H18" i="1" s="1"/>
  <c r="G18" i="1"/>
  <c r="Q5" i="1"/>
  <c r="Q6" i="1"/>
  <c r="D33" i="1" s="1"/>
  <c r="D32" i="1" s="1"/>
  <c r="Q7" i="1"/>
  <c r="E33" i="1" s="1"/>
  <c r="Q8" i="1"/>
  <c r="F33" i="1" s="1"/>
  <c r="Q9" i="1"/>
  <c r="D35" i="1" s="1"/>
  <c r="D34" i="1" s="1"/>
  <c r="Q10" i="1"/>
  <c r="E35" i="1" s="1"/>
  <c r="Q11" i="1"/>
  <c r="F35" i="1" s="1"/>
  <c r="Q12" i="1"/>
  <c r="D37" i="1" s="1"/>
  <c r="D36" i="1" s="1"/>
  <c r="Q13" i="1"/>
  <c r="E37" i="1" s="1"/>
  <c r="Q14" i="1"/>
  <c r="G37" i="1" s="1"/>
  <c r="Q15" i="1"/>
  <c r="D39" i="1" s="1"/>
  <c r="D38" i="1" s="1"/>
  <c r="Q16" i="1"/>
  <c r="E39" i="1" s="1"/>
  <c r="Q17" i="1"/>
  <c r="G39" i="1" s="1"/>
  <c r="Q18" i="1"/>
  <c r="H41" i="1" s="1"/>
  <c r="Q19" i="1"/>
  <c r="H46" i="1" s="1"/>
  <c r="Q20" i="1"/>
  <c r="D49" i="1" s="1"/>
  <c r="E49" i="1" s="1"/>
  <c r="Q21" i="1"/>
  <c r="Q22" i="1"/>
  <c r="Q23" i="1"/>
  <c r="Q24" i="1"/>
  <c r="Q25" i="1"/>
  <c r="C4" i="1" s="1"/>
  <c r="C6" i="1" s="1"/>
  <c r="C9" i="1" s="1"/>
  <c r="C11" i="1" s="1"/>
  <c r="Q26" i="1"/>
  <c r="I4" i="1" s="1"/>
  <c r="Q27" i="1"/>
  <c r="G81" i="1" s="1"/>
  <c r="Q28" i="1"/>
  <c r="Q29" i="1"/>
  <c r="I5" i="1" s="1"/>
  <c r="Q30" i="1"/>
  <c r="E92" i="1" s="1"/>
  <c r="Q31" i="1"/>
  <c r="Q32" i="1"/>
  <c r="N4" i="1" s="1"/>
  <c r="Q33" i="1"/>
  <c r="D81" i="1" l="1"/>
  <c r="E81" i="1"/>
  <c r="D92" i="1"/>
  <c r="F37" i="1"/>
  <c r="E34" i="1"/>
  <c r="F34" i="1" s="1"/>
  <c r="F41" i="1"/>
  <c r="G41" i="1"/>
  <c r="E41" i="1"/>
  <c r="F81" i="1"/>
  <c r="D41" i="1"/>
  <c r="D40" i="1" s="1"/>
  <c r="D42" i="1" s="1"/>
  <c r="H39" i="1"/>
  <c r="F39" i="1"/>
  <c r="E36" i="1"/>
  <c r="G92" i="1"/>
  <c r="H37" i="1"/>
  <c r="H92" i="1"/>
  <c r="F92" i="1"/>
  <c r="H33" i="1"/>
  <c r="E32" i="1"/>
  <c r="F32" i="1" s="1"/>
  <c r="C13" i="1"/>
  <c r="G11" i="1"/>
  <c r="F49" i="1"/>
  <c r="E38" i="1"/>
  <c r="G33" i="1"/>
  <c r="D46" i="1"/>
  <c r="H35" i="1"/>
  <c r="H81" i="1"/>
  <c r="G35" i="1"/>
  <c r="G34" i="1" l="1"/>
  <c r="H34" i="1" s="1"/>
  <c r="I34" i="1" s="1"/>
  <c r="F36" i="1"/>
  <c r="G36" i="1" s="1"/>
  <c r="H36" i="1" s="1"/>
  <c r="I36" i="1" s="1"/>
  <c r="F38" i="1"/>
  <c r="G38" i="1" s="1"/>
  <c r="H38" i="1" s="1"/>
  <c r="I38" i="1" s="1"/>
  <c r="G13" i="1"/>
  <c r="E46" i="1"/>
  <c r="D45" i="1"/>
  <c r="D47" i="1" s="1"/>
  <c r="G49" i="1"/>
  <c r="G32" i="1"/>
  <c r="D58" i="1"/>
  <c r="D67" i="1"/>
  <c r="D43" i="1"/>
  <c r="D68" i="1"/>
  <c r="D59" i="1" s="1"/>
  <c r="E40" i="1"/>
  <c r="E42" i="1" s="1"/>
  <c r="F40" i="1" l="1"/>
  <c r="F42" i="1" s="1"/>
  <c r="F58" i="1" s="1"/>
  <c r="E43" i="1"/>
  <c r="E58" i="1"/>
  <c r="E68" i="1"/>
  <c r="E59" i="1" s="1"/>
  <c r="E67" i="1"/>
  <c r="D55" i="1"/>
  <c r="D50" i="1"/>
  <c r="H32" i="1"/>
  <c r="G40" i="1"/>
  <c r="G42" i="1" s="1"/>
  <c r="H49" i="1"/>
  <c r="E45" i="1"/>
  <c r="E47" i="1" s="1"/>
  <c r="F46" i="1"/>
  <c r="F43" i="1" l="1"/>
  <c r="F67" i="1"/>
  <c r="F68" i="1"/>
  <c r="F59" i="1" s="1"/>
  <c r="I32" i="1"/>
  <c r="H40" i="1"/>
  <c r="E55" i="1"/>
  <c r="E50" i="1"/>
  <c r="D51" i="1"/>
  <c r="D95" i="1"/>
  <c r="D52" i="1"/>
  <c r="G5" i="1"/>
  <c r="G4" i="1"/>
  <c r="C12" i="1"/>
  <c r="F45" i="1"/>
  <c r="F47" i="1" s="1"/>
  <c r="G46" i="1"/>
  <c r="G45" i="1" s="1"/>
  <c r="G58" i="1"/>
  <c r="G68" i="1"/>
  <c r="G43" i="1"/>
  <c r="G67" i="1"/>
  <c r="G47" i="1" l="1"/>
  <c r="G59" i="1"/>
  <c r="G55" i="1"/>
  <c r="G50" i="1"/>
  <c r="F55" i="1"/>
  <c r="F50" i="1"/>
  <c r="E52" i="1"/>
  <c r="E51" i="1"/>
  <c r="E95" i="1"/>
  <c r="D75" i="1"/>
  <c r="G12" i="1"/>
  <c r="D86" i="1"/>
  <c r="I40" i="1"/>
  <c r="H42" i="1"/>
  <c r="I42" i="1" l="1"/>
  <c r="H67" i="1"/>
  <c r="C103" i="1"/>
  <c r="H43" i="1"/>
  <c r="H58" i="1"/>
  <c r="H68" i="1"/>
  <c r="H59" i="1" s="1"/>
  <c r="H45" i="1"/>
  <c r="H47" i="1" s="1"/>
  <c r="D87" i="1"/>
  <c r="F52" i="1"/>
  <c r="F95" i="1"/>
  <c r="F51" i="1"/>
  <c r="C107" i="1"/>
  <c r="G14" i="1"/>
  <c r="D76" i="1"/>
  <c r="G52" i="1"/>
  <c r="G51" i="1"/>
  <c r="G95" i="1"/>
  <c r="D61" i="1" l="1"/>
  <c r="H55" i="1"/>
  <c r="I45" i="1"/>
  <c r="H50" i="1"/>
  <c r="G7" i="1"/>
  <c r="H14" i="1" s="1"/>
  <c r="I55" i="1" l="1"/>
  <c r="L55" i="1"/>
  <c r="M55" i="1" s="1"/>
  <c r="M56" i="1" s="1"/>
  <c r="H7" i="1"/>
  <c r="G6" i="1"/>
  <c r="H11" i="1"/>
  <c r="H13" i="1"/>
  <c r="H4" i="1"/>
  <c r="H5" i="1"/>
  <c r="H12" i="1"/>
  <c r="H51" i="1"/>
  <c r="C104" i="1" s="1"/>
  <c r="H95" i="1"/>
  <c r="N3" i="1"/>
  <c r="N5" i="1" s="1"/>
  <c r="I50" i="1"/>
  <c r="H52" i="1"/>
  <c r="C105" i="1"/>
  <c r="C102" i="1" l="1"/>
  <c r="C19" i="1"/>
  <c r="C22" i="1" s="1"/>
  <c r="H6" i="1"/>
  <c r="N6" i="1"/>
  <c r="N7" i="1"/>
  <c r="N8" i="1"/>
  <c r="N9" i="1"/>
  <c r="H21" i="1"/>
  <c r="H22" i="1"/>
  <c r="C24" i="1"/>
  <c r="C25" i="1"/>
  <c r="F25" i="1" a="1"/>
  <c r="F25" i="1"/>
  <c r="Q34" i="1"/>
  <c r="Q35" i="1"/>
  <c r="Q36" i="1"/>
  <c r="Q38" i="1"/>
  <c r="Q39" i="1"/>
  <c r="Q40" i="1"/>
  <c r="D56" i="1"/>
  <c r="E56" i="1"/>
  <c r="F56" i="1"/>
  <c r="G56" i="1"/>
  <c r="H56" i="1"/>
  <c r="D57" i="1"/>
  <c r="E57" i="1"/>
  <c r="F57" i="1"/>
  <c r="G57" i="1"/>
  <c r="H57" i="1"/>
  <c r="D60" i="1"/>
  <c r="E60" i="1"/>
  <c r="F60" i="1"/>
  <c r="G60" i="1"/>
  <c r="H60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5" i="1"/>
  <c r="E65" i="1"/>
  <c r="F65" i="1"/>
  <c r="G65" i="1"/>
  <c r="H65" i="1"/>
  <c r="E75" i="1"/>
  <c r="F75" i="1"/>
  <c r="G75" i="1"/>
  <c r="H75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80" i="1"/>
  <c r="E80" i="1"/>
  <c r="F80" i="1"/>
  <c r="G80" i="1"/>
  <c r="H80" i="1"/>
  <c r="D82" i="1"/>
  <c r="E82" i="1"/>
  <c r="F82" i="1"/>
  <c r="G82" i="1"/>
  <c r="H82" i="1"/>
  <c r="E86" i="1"/>
  <c r="F86" i="1"/>
  <c r="G86" i="1"/>
  <c r="H86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1" i="1"/>
  <c r="E91" i="1"/>
  <c r="F91" i="1"/>
  <c r="G91" i="1"/>
  <c r="H91" i="1"/>
  <c r="D93" i="1"/>
  <c r="E93" i="1"/>
  <c r="F93" i="1"/>
  <c r="G93" i="1"/>
  <c r="H93" i="1"/>
  <c r="D96" i="1"/>
  <c r="E96" i="1"/>
  <c r="F96" i="1"/>
  <c r="G96" i="1"/>
  <c r="H96" i="1"/>
  <c r="D98" i="1"/>
  <c r="E98" i="1"/>
  <c r="F98" i="1"/>
  <c r="G98" i="1"/>
  <c r="H98" i="1"/>
  <c r="D99" i="1"/>
  <c r="E99" i="1"/>
  <c r="F99" i="1"/>
  <c r="G99" i="1"/>
  <c r="H99" i="1"/>
  <c r="C106" i="1"/>
  <c r="C108" i="1"/>
  <c r="C10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<sst xmlns="http://schemas.openxmlformats.org/spreadsheetml/2006/main" count="194" uniqueCount="144">
  <si>
    <t>x</t>
  </si>
  <si>
    <t>Purchase Price</t>
  </si>
  <si>
    <t>Stock Price</t>
  </si>
  <si>
    <t>Premium</t>
  </si>
  <si>
    <t>Shares Outstanding</t>
  </si>
  <si>
    <t>Equity Value</t>
  </si>
  <si>
    <t>(-) Cash</t>
  </si>
  <si>
    <t>(+) Debt</t>
  </si>
  <si>
    <t>Enterprise Value</t>
  </si>
  <si>
    <t>Financials</t>
  </si>
  <si>
    <t>Year</t>
  </si>
  <si>
    <t>Assumptions</t>
  </si>
  <si>
    <t>Case</t>
  </si>
  <si>
    <t>Item</t>
  </si>
  <si>
    <t>Base</t>
  </si>
  <si>
    <t>Revenue</t>
  </si>
  <si>
    <t>Growth %</t>
  </si>
  <si>
    <t>Gross Profit</t>
  </si>
  <si>
    <t>Margin %</t>
  </si>
  <si>
    <t>(-) SG&amp;A</t>
  </si>
  <si>
    <t>Revenue:</t>
  </si>
  <si>
    <t>Pottery barn</t>
  </si>
  <si>
    <t>West Elm</t>
  </si>
  <si>
    <t>Williams Sonoma</t>
  </si>
  <si>
    <t>Pottery Barn Kids and Teen</t>
  </si>
  <si>
    <t>Other</t>
  </si>
  <si>
    <t>Total</t>
  </si>
  <si>
    <t>Upside</t>
  </si>
  <si>
    <t>Downside</t>
  </si>
  <si>
    <t>WYNTB</t>
  </si>
  <si>
    <t>Sens</t>
  </si>
  <si>
    <t>Pottery barn ST</t>
  </si>
  <si>
    <t>Pottery barn MT</t>
  </si>
  <si>
    <t>Pottery barn LT</t>
  </si>
  <si>
    <t>West Elm ST</t>
  </si>
  <si>
    <t>Williams Sonoma ST</t>
  </si>
  <si>
    <t>Pottery Barn Kids and Teen LT</t>
  </si>
  <si>
    <t>Pottery Barn Kids and Teen ST</t>
  </si>
  <si>
    <t>Pottery Barn Kids and Teen MT</t>
  </si>
  <si>
    <t>Williams Sonoma MT</t>
  </si>
  <si>
    <t>Williams Sonoma LT</t>
  </si>
  <si>
    <t>West Elm MT</t>
  </si>
  <si>
    <t>West Elm LT</t>
  </si>
  <si>
    <t>% of Revenue</t>
  </si>
  <si>
    <t>'23-'28 CAGR</t>
  </si>
  <si>
    <t>Gross Margin %</t>
  </si>
  <si>
    <t>Cash Flow</t>
  </si>
  <si>
    <t>EBITDA</t>
  </si>
  <si>
    <t>(-) Interest</t>
  </si>
  <si>
    <t>(-) Taxes</t>
  </si>
  <si>
    <t>(-) Capex</t>
  </si>
  <si>
    <t>(-) NWC</t>
  </si>
  <si>
    <t>Levered Free Cash Flow</t>
  </si>
  <si>
    <t>(-) Mandatory Amortization</t>
  </si>
  <si>
    <t>(-) Optional Paydown</t>
  </si>
  <si>
    <t>LFCF (Post Mandatory Amort + Optional)</t>
  </si>
  <si>
    <t>SG&amp;A Growth %</t>
  </si>
  <si>
    <t>D&amp;A</t>
  </si>
  <si>
    <t>Capex</t>
  </si>
  <si>
    <t>NWC</t>
  </si>
  <si>
    <t>Tax Rate</t>
  </si>
  <si>
    <t>Debt Schedule</t>
  </si>
  <si>
    <t>Term Loan A</t>
  </si>
  <si>
    <t>Beginning</t>
  </si>
  <si>
    <t>Ending</t>
  </si>
  <si>
    <t>Avg Balance</t>
  </si>
  <si>
    <t>SOFR</t>
  </si>
  <si>
    <t>Interest Rate</t>
  </si>
  <si>
    <t>Interest Expense</t>
  </si>
  <si>
    <t>Term Loan B</t>
  </si>
  <si>
    <t>Implied PF 2024 EV/EBITDA</t>
  </si>
  <si>
    <t>Implied PF 2023 EV/EBITDA</t>
  </si>
  <si>
    <t>Tranche A Debt</t>
  </si>
  <si>
    <t>Tranche B Debt</t>
  </si>
  <si>
    <t>Equity</t>
  </si>
  <si>
    <t>Total Sources</t>
  </si>
  <si>
    <t>Financing Fees</t>
  </si>
  <si>
    <t>Transaction Fees</t>
  </si>
  <si>
    <t>%</t>
  </si>
  <si>
    <t>Tranche A Debt / EBITDA</t>
  </si>
  <si>
    <t>Tranche B Debt / EBITDA</t>
  </si>
  <si>
    <t>Floating Rate</t>
  </si>
  <si>
    <t>Mandatory Amort</t>
  </si>
  <si>
    <t>Exit Multiple</t>
  </si>
  <si>
    <t>MIP</t>
  </si>
  <si>
    <t>x / NTM EBITDA</t>
  </si>
  <si>
    <t>Ending Cash</t>
  </si>
  <si>
    <t>Exit Assumptions</t>
  </si>
  <si>
    <t>Exit EBITDA</t>
  </si>
  <si>
    <t>(-) MIP</t>
  </si>
  <si>
    <t>Equity Proceeds</t>
  </si>
  <si>
    <t>(-) Net Debt</t>
  </si>
  <si>
    <t>Returns Analysis</t>
  </si>
  <si>
    <t>Entry Equity</t>
  </si>
  <si>
    <t>Dividends</t>
  </si>
  <si>
    <t>Exit Proceeds</t>
  </si>
  <si>
    <t>IRR</t>
  </si>
  <si>
    <t>MOIC</t>
  </si>
  <si>
    <t xml:space="preserve">Debt </t>
  </si>
  <si>
    <t>Debt / EBITDA</t>
  </si>
  <si>
    <t>DSCR</t>
  </si>
  <si>
    <t>Mgmt.</t>
  </si>
  <si>
    <t>Starting Equity</t>
  </si>
  <si>
    <t>Revenue Growth</t>
  </si>
  <si>
    <t>Margin Expansion</t>
  </si>
  <si>
    <t>Multiple Expansion</t>
  </si>
  <si>
    <t>LFCF / Debt Paydown</t>
  </si>
  <si>
    <t>Trx Fees</t>
  </si>
  <si>
    <t>2028E</t>
  </si>
  <si>
    <t>Total Uses</t>
  </si>
  <si>
    <t>Company</t>
  </si>
  <si>
    <t>YoY Rev. Growth</t>
  </si>
  <si>
    <t xml:space="preserve">YoY EBITDA Growth </t>
  </si>
  <si>
    <t>EBITDA Margin %</t>
  </si>
  <si>
    <t>RH</t>
  </si>
  <si>
    <t>Sleep Number</t>
  </si>
  <si>
    <t>Lowes Companies</t>
  </si>
  <si>
    <t>The Home Depot</t>
  </si>
  <si>
    <t>Bed Bath &amp; Beyond</t>
  </si>
  <si>
    <t>Tractor Supply</t>
  </si>
  <si>
    <t>Overstock.com</t>
  </si>
  <si>
    <t>Wayfair Inc</t>
  </si>
  <si>
    <t>Median</t>
  </si>
  <si>
    <t>Williams-Sonoma</t>
  </si>
  <si>
    <t>Aarhus</t>
  </si>
  <si>
    <t>EV / EBITDA</t>
  </si>
  <si>
    <t>Date</t>
  </si>
  <si>
    <t>Target Company</t>
  </si>
  <si>
    <t>Deal Size</t>
  </si>
  <si>
    <t>Univar Solutions</t>
  </si>
  <si>
    <t>Atlas Technical Consultants</t>
  </si>
  <si>
    <t>Altas Air Worldwide Holdings</t>
  </si>
  <si>
    <t>Variable</t>
  </si>
  <si>
    <t>Step</t>
  </si>
  <si>
    <t>Impact</t>
  </si>
  <si>
    <t>Implied Banker 2024 EBITDA Multiple</t>
  </si>
  <si>
    <t>Sources</t>
  </si>
  <si>
    <t>Uses</t>
  </si>
  <si>
    <t>Terms</t>
  </si>
  <si>
    <t>SOFR + 400</t>
  </si>
  <si>
    <t>SOFR + 600</t>
  </si>
  <si>
    <t>$</t>
  </si>
  <si>
    <t>2.5% Issued Debt</t>
  </si>
  <si>
    <t>1%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</si>
</sst>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yyyy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0.0\x"/>
    <numFmt numFmtId="169" formatCode="[$-409]mmmm\ d\,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 val="singleAccounting"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Playbill"/>
      <family val="5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2" borderId="0" xfId="0" applyFont="1" applyFill="1" applyAlignment="1">
      <alignment horizontal="center"/>
    </xf>
    <xf numFmtId="0" fontId="4" fillId="0" borderId="1" xfId="0" applyFont="1" applyBorder="1"/>
    <xf numFmtId="0" fontId="3" fillId="2" borderId="0" xfId="0" applyFont="1" applyFill="1"/>
    <xf numFmtId="0" fontId="2" fillId="2" borderId="0" xfId="0" applyFont="1" applyFill="1"/>
    <xf numFmtId="0" fontId="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6" fillId="0" borderId="0" xfId="0" applyFont="1" applyAlignment="1">
      <alignment horizontal="left" indent="1"/>
    </xf>
    <xf numFmtId="0" fontId="4" fillId="0" borderId="0" xfId="0" applyFont="1"/>
    <xf numFmtId="0" fontId="4" fillId="0" borderId="3" xfId="0" applyFont="1" applyBorder="1"/>
    <xf numFmtId="43" fontId="0" fillId="0" borderId="3" xfId="0" applyNumberFormat="1" applyBorder="1"/>
    <xf numFmtId="43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4" fillId="0" borderId="1" xfId="0" applyNumberFormat="1" applyFont="1" applyBorder="1"/>
    <xf numFmtId="167" fontId="0" fillId="0" borderId="0" xfId="2" applyNumberFormat="1" applyFont="1"/>
    <xf numFmtId="167" fontId="6" fillId="0" borderId="0" xfId="2" applyNumberFormat="1" applyFont="1"/>
    <xf numFmtId="9" fontId="0" fillId="0" borderId="0" xfId="0" applyNumberFormat="1"/>
    <xf numFmtId="10" fontId="0" fillId="0" borderId="0" xfId="0" applyNumberFormat="1"/>
    <xf numFmtId="164" fontId="5" fillId="0" borderId="0" xfId="0" quotePrefix="1" applyNumberFormat="1" applyFont="1" applyAlignment="1">
      <alignment horizontal="center"/>
    </xf>
    <xf numFmtId="0" fontId="4" fillId="3" borderId="1" xfId="0" applyFont="1" applyFill="1" applyBorder="1"/>
    <xf numFmtId="166" fontId="4" fillId="3" borderId="1" xfId="0" applyNumberFormat="1" applyFont="1" applyFill="1" applyBorder="1"/>
    <xf numFmtId="0" fontId="0" fillId="3" borderId="4" xfId="0" applyFill="1" applyBorder="1"/>
    <xf numFmtId="166" fontId="0" fillId="3" borderId="4" xfId="0" applyNumberFormat="1" applyFill="1" applyBorder="1"/>
    <xf numFmtId="0" fontId="0" fillId="3" borderId="1" xfId="0" applyFill="1" applyBorder="1"/>
    <xf numFmtId="166" fontId="0" fillId="3" borderId="1" xfId="0" applyNumberFormat="1" applyFill="1" applyBorder="1"/>
    <xf numFmtId="166" fontId="4" fillId="0" borderId="3" xfId="0" applyNumberFormat="1" applyFont="1" applyBorder="1"/>
    <xf numFmtId="167" fontId="7" fillId="0" borderId="0" xfId="2" applyNumberFormat="1" applyFont="1"/>
    <xf numFmtId="0" fontId="6" fillId="0" borderId="0" xfId="0" applyFont="1"/>
    <xf numFmtId="168" fontId="0" fillId="0" borderId="0" xfId="1" applyNumberFormat="1" applyFont="1"/>
    <xf numFmtId="166" fontId="0" fillId="0" borderId="0" xfId="1" applyNumberFormat="1" applyFont="1"/>
    <xf numFmtId="0" fontId="0" fillId="3" borderId="0" xfId="0" applyFill="1"/>
    <xf numFmtId="168" fontId="0" fillId="0" borderId="0" xfId="0" applyNumberFormat="1"/>
    <xf numFmtId="168" fontId="6" fillId="0" borderId="0" xfId="0" applyNumberFormat="1" applyFont="1"/>
    <xf numFmtId="167" fontId="0" fillId="3" borderId="0" xfId="2" applyNumberFormat="1" applyFont="1" applyFill="1"/>
    <xf numFmtId="9" fontId="8" fillId="3" borderId="1" xfId="2" applyFont="1" applyFill="1" applyBorder="1"/>
    <xf numFmtId="164" fontId="5" fillId="0" borderId="5" xfId="0" applyNumberFormat="1" applyFont="1" applyBorder="1" applyAlignment="1">
      <alignment horizontal="center"/>
    </xf>
    <xf numFmtId="166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166" fontId="0" fillId="0" borderId="0" xfId="0" applyNumberFormat="1" applyAlignment="1">
      <alignment horizontal="right"/>
    </xf>
    <xf numFmtId="166" fontId="4" fillId="0" borderId="6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0" fontId="4" fillId="3" borderId="7" xfId="0" applyFont="1" applyFill="1" applyBorder="1"/>
    <xf numFmtId="9" fontId="4" fillId="3" borderId="6" xfId="0" applyNumberFormat="1" applyFont="1" applyFill="1" applyBorder="1"/>
    <xf numFmtId="0" fontId="4" fillId="3" borderId="8" xfId="0" applyFont="1" applyFill="1" applyBorder="1"/>
    <xf numFmtId="168" fontId="4" fillId="3" borderId="9" xfId="1" applyNumberFormat="1" applyFont="1" applyFill="1" applyBorder="1"/>
    <xf numFmtId="168" fontId="6" fillId="0" borderId="0" xfId="1" applyNumberFormat="1" applyFont="1"/>
    <xf numFmtId="0" fontId="0" fillId="4" borderId="4" xfId="0" applyFill="1" applyBorder="1"/>
    <xf numFmtId="166" fontId="0" fillId="4" borderId="4" xfId="0" applyNumberFormat="1" applyFill="1" applyBorder="1"/>
    <xf numFmtId="167" fontId="6" fillId="4" borderId="4" xfId="2" applyNumberFormat="1" applyFont="1" applyFill="1" applyBorder="1"/>
    <xf numFmtId="168" fontId="0" fillId="4" borderId="4" xfId="0" applyNumberFormat="1" applyFill="1" applyBorder="1"/>
    <xf numFmtId="168" fontId="0" fillId="3" borderId="4" xfId="0" applyNumberFormat="1" applyFill="1" applyBorder="1"/>
    <xf numFmtId="169" fontId="0" fillId="0" borderId="0" xfId="0" applyNumberFormat="1" applyAlignment="1">
      <alignment horizontal="left"/>
    </xf>
    <xf numFmtId="166" fontId="9" fillId="0" borderId="0" xfId="0" applyNumberFormat="1" applyFont="1"/>
    <xf numFmtId="9" fontId="0" fillId="3" borderId="0" xfId="0" applyNumberFormat="1" applyFill="1"/>
    <xf numFmtId="10" fontId="0" fillId="3" borderId="0" xfId="0" applyNumberFormat="1" applyFill="1"/>
    <xf numFmtId="168" fontId="0" fillId="3" borderId="0" xfId="1" applyNumberFormat="1" applyFont="1" applyFill="1"/>
    <xf numFmtId="9" fontId="9" fillId="0" borderId="0" xfId="0" applyNumberFormat="1" applyFont="1"/>
    <xf numFmtId="10" fontId="9" fillId="0" borderId="0" xfId="0" applyNumberFormat="1" applyFont="1"/>
    <xf numFmtId="167" fontId="9" fillId="0" borderId="0" xfId="2" applyNumberFormat="1" applyFont="1"/>
    <xf numFmtId="167" fontId="10" fillId="0" borderId="0" xfId="2" applyNumberFormat="1" applyFont="1"/>
    <xf numFmtId="168" fontId="9" fillId="0" borderId="0" xfId="1" applyNumberFormat="1" applyFont="1"/>
    <xf numFmtId="0" fontId="9" fillId="0" borderId="0" xfId="0" applyFont="1"/>
    <xf numFmtId="168" fontId="10" fillId="0" borderId="0" xfId="1" applyNumberFormat="1" applyFont="1"/>
    <xf numFmtId="0" fontId="11" fillId="0" borderId="0" xfId="0" applyFont="1"/>
    <xf numFmtId="167" fontId="6" fillId="0" borderId="0" xfId="0" applyNumberFormat="1" applyFont="1"/>
    <xf numFmtId="167" fontId="6" fillId="3" borderId="4" xfId="2" applyNumberFormat="1" applyFont="1" applyFill="1" applyBorder="1"/>
    <xf numFmtId="167" fontId="6" fillId="4" borderId="4" xfId="0" applyNumberFormat="1" applyFont="1" applyFill="1" applyBorder="1"/>
    <xf numFmtId="0" fontId="6" fillId="0" borderId="3" xfId="0" applyFont="1" applyBorder="1" applyAlignment="1">
      <alignment horizontal="center"/>
    </xf>
    <xf numFmtId="168" fontId="6" fillId="0" borderId="0" xfId="0" applyNumberFormat="1" applyFont="1" applyAlignment="1">
      <alignment horizontal="right"/>
    </xf>
    <xf numFmtId="0" fontId="0" fillId="0" borderId="3" xfId="0" applyBorder="1" applyAlignment="1">
      <alignment horizontal="center"/>
    </xf>
    <xf numFmtId="168" fontId="1" fillId="3" borderId="0" xfId="1" applyNumberFormat="1" applyFont="1" applyFill="1" applyBorder="1"/>
    <xf numFmtId="0" fontId="3" fillId="2" borderId="0" xfId="0" applyFont="1" applyFill="1" applyAlignment="1">
      <alignment horizontal="center"/>
    </xf>
    <xf numFmtId="0" fontId="0" fillId="4" borderId="2" xfId="0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3C4664AB-F143-41B2-A557-789357E3E266}">
          <cx:spPr>
            <a:solidFill>
              <a:schemeClr val="accent1">
                <a:lumMod val="20000"/>
                <a:lumOff val="80000"/>
              </a:schemeClr>
            </a:solidFill>
          </cx:spPr>
          <cx:dataPt idx="7">
            <cx:spPr>
              <a:solidFill>
                <a:srgbClr val="00206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300" b="1" i="0">
                    <a:solidFill>
                      <a:sysClr val="windowText" lastClr="000000"/>
                    </a:solidFill>
                    <a:latin typeface="+mj-lt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 sz="1300" b="1">
                  <a:solidFill>
                    <a:sysClr val="windowText" lastClr="000000"/>
                  </a:solidFill>
                  <a:latin typeface="+mj-lt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7"/>
            </cx:subtotals>
          </cx:layoutPr>
        </cx:series>
      </cx:plotAreaRegion>
      <cx:axis id="0">
        <cx:catScaling gapWidth="0.5"/>
        <cx:tickLabels/>
        <cx:spPr>
          <a:ln>
            <a:solidFill>
              <a:sysClr val="windowText" lastClr="000000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300" b="1">
                <a:solidFill>
                  <a:sysClr val="windowText" lastClr="000000"/>
                </a:solidFill>
                <a:latin typeface="+mj-lt"/>
              </a:defRPr>
            </a:pPr>
            <a:endParaRPr lang="en-US" sz="1300" b="1" i="0" u="none" strike="noStrike" baseline="0">
              <a:solidFill>
                <a:sysClr val="windowText" lastClr="000000"/>
              </a:solidFill>
              <a:latin typeface="+mj-lt"/>
            </a:endParaRPr>
          </a:p>
        </cx:txPr>
      </cx:axis>
      <cx:axis id="1" hidden="1">
        <cx:valScaling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ysClr val="windowText" lastClr="000000"/>
                </a:solidFill>
                <a:latin typeface="+mj-lt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>
              <a:solidFill>
                <a:sysClr val="windowText" lastClr="000000"/>
              </a:solidFill>
              <a:latin typeface="+mj-lt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169334</xdr:colOff>
      <xdr:row>81</xdr:row>
      <xdr:rowOff>36442</xdr:rowOff>
    </xdr:from>
    <xdr:to>
      <xdr:col>21</xdr:col>
      <xdr:colOff>573942</xdr:colOff>
      <xdr:row>106</xdr:row>
      <xdr:rowOff>97692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E521CB0E-11D5-EDB8-84EF-9384C55673D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71834" y="15093269"/>
              <a:ext cx="11627012" cy="464057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X109"/>
  <sheetViews>
    <sheetView showGridLines="0" tabSelected="1" zoomScale="71" zoomScaleNormal="70" workbookViewId="0"/>
  </sheetViews>
  <sheetFormatPr defaultColWidth="10.6328125" defaultRowHeight="14.5" outlineLevelRow="1" x14ac:dyDescent="0.35"/>
  <cols>
    <col min="1" max="1" width="2.6328125" customWidth="1"/>
    <col min="2" max="2" width="34.90625" bestFit="1" customWidth="1"/>
    <col min="5" max="5" width="13.6328125" bestFit="1" customWidth="1"/>
    <col min="6" max="6" width="10.6328125" customWidth="1"/>
    <col min="9" max="9" width="14.08984375" bestFit="1" customWidth="1"/>
    <col min="10" max="10" width="14.08984375" customWidth="1"/>
    <col min="16" max="16" width="25.6328125" customWidth="1"/>
  </cols>
  <sheetData>
    <row r="2" spans="1:50" ht="16" x14ac:dyDescent="0.5">
      <c r="A2" t="s">
        <v>0</v>
      </c>
      <c r="B2" s="76" t="s">
        <v>1</v>
      </c>
      <c r="C2" s="76"/>
      <c r="E2" s="76" t="s">
        <v>136</v>
      </c>
      <c r="F2" s="76"/>
      <c r="G2" s="76"/>
      <c r="H2" s="76"/>
      <c r="I2" s="76"/>
      <c r="J2" s="76"/>
      <c r="L2" s="76" t="s">
        <v>87</v>
      </c>
      <c r="M2" s="76"/>
      <c r="N2" s="76"/>
      <c r="P2" s="4" t="s">
        <v>11</v>
      </c>
      <c r="Q2" s="3"/>
      <c r="R2" s="3"/>
      <c r="S2" s="3"/>
      <c r="T2" s="3"/>
      <c r="U2" s="3"/>
      <c r="V2" s="3"/>
      <c r="W2" s="3"/>
      <c r="X2" s="3"/>
      <c r="Y2" s="3"/>
      <c r="Z2" s="3"/>
    </row>
    <row r="3" spans="1:50" x14ac:dyDescent="0.35">
      <c r="B3" t="s">
        <v>2</v>
      </c>
      <c r="C3" s="34">
        <v>112</v>
      </c>
      <c r="E3" s="9"/>
      <c r="F3" s="9"/>
      <c r="G3" s="74" t="s">
        <v>141</v>
      </c>
      <c r="H3" s="72" t="s">
        <v>78</v>
      </c>
      <c r="I3" s="72" t="s">
        <v>85</v>
      </c>
      <c r="J3" s="72" t="s">
        <v>138</v>
      </c>
      <c r="L3" t="s">
        <v>88</v>
      </c>
      <c r="N3" s="17">
        <f ca="1">$H$50</f>
        <v>1535.717234678124</v>
      </c>
      <c r="Q3" t="s">
        <v>12</v>
      </c>
    </row>
    <row r="4" spans="1:50" x14ac:dyDescent="0.35">
      <c r="B4" t="s">
        <v>3</v>
      </c>
      <c r="C4" s="21">
        <f ca="1">$Q$25</f>
        <v>0.35</v>
      </c>
      <c r="E4" t="s">
        <v>72</v>
      </c>
      <c r="G4" s="17">
        <f ca="1">I4*$D$50</f>
        <v>3337.866944050721</v>
      </c>
      <c r="H4" s="20">
        <f ca="1">G4/$G$7</f>
        <v>0.30297283026854693</v>
      </c>
      <c r="I4" s="37">
        <f ca="1">Q26</f>
        <v>3</v>
      </c>
      <c r="J4" s="73" t="s">
        <v>139</v>
      </c>
      <c r="L4" t="s">
        <v>83</v>
      </c>
      <c r="N4" s="33">
        <f ca="1">$Q$32</f>
        <v>7.5</v>
      </c>
      <c r="Q4" s="77">
        <v>1</v>
      </c>
    </row>
    <row r="5" spans="1:50" x14ac:dyDescent="0.35">
      <c r="B5" t="s">
        <v>4</v>
      </c>
      <c r="C5" s="16">
        <v>64.2</v>
      </c>
      <c r="E5" t="s">
        <v>73</v>
      </c>
      <c r="G5" s="17">
        <f ca="1">I5*$D$50</f>
        <v>1668.9334720253605</v>
      </c>
      <c r="H5" s="20">
        <f t="shared" ref="H5:H7" ca="1" si="0">G5/$G$7</f>
        <v>0.15148641513427347</v>
      </c>
      <c r="I5" s="37">
        <f ca="1">Q29</f>
        <v>1.5</v>
      </c>
      <c r="J5" s="73" t="s">
        <v>140</v>
      </c>
      <c r="L5" s="24" t="s">
        <v>8</v>
      </c>
      <c r="M5" s="25"/>
      <c r="N5" s="25">
        <f ca="1">N3*N4</f>
        <v>11517.879260085931</v>
      </c>
      <c r="P5" s="9" t="s">
        <v>13</v>
      </c>
      <c r="Q5" s="10" t="str">
        <f t="shared" ref="Q5:Q33" ca="1" si="1">OFFSET(Q5,,$Q$4)</f>
        <v>Base</v>
      </c>
      <c r="R5" s="10" t="s">
        <v>14</v>
      </c>
      <c r="S5" s="10" t="s">
        <v>27</v>
      </c>
      <c r="T5" s="10" t="s">
        <v>28</v>
      </c>
      <c r="U5" s="10" t="s">
        <v>29</v>
      </c>
      <c r="V5" s="10" t="s">
        <v>101</v>
      </c>
      <c r="W5" s="10" t="s">
        <v>30</v>
      </c>
      <c r="X5" s="9"/>
      <c r="Y5" s="9"/>
      <c r="Z5" s="9"/>
      <c r="AA5" s="9"/>
      <c r="AB5" s="9"/>
      <c r="AC5" s="9"/>
    </row>
    <row r="6" spans="1:50" x14ac:dyDescent="0.35">
      <c r="B6" s="24" t="s">
        <v>5</v>
      </c>
      <c r="C6" s="25">
        <f ca="1">C3*(1+C4)*C5</f>
        <v>9707.0400000000009</v>
      </c>
      <c r="E6" t="s">
        <v>74</v>
      </c>
      <c r="G6" s="17">
        <f ca="1">G7-SUM(G4:G5)</f>
        <v>6010.2499943258208</v>
      </c>
      <c r="H6" s="20">
        <f t="shared" ca="1" si="0"/>
        <v>0.54554075459717966</v>
      </c>
      <c r="L6" t="s">
        <v>91</v>
      </c>
      <c r="N6" s="17">
        <f ca="1">-H78-H89+H65</f>
        <v>-2558.8540517744605</v>
      </c>
      <c r="P6" t="s">
        <v>31</v>
      </c>
      <c r="Q6" s="58">
        <f t="shared" ca="1" si="1"/>
        <v>-0.1</v>
      </c>
      <c r="R6" s="21">
        <v>-0.1</v>
      </c>
      <c r="S6" s="21">
        <v>-0.02</v>
      </c>
      <c r="T6" s="21">
        <v>-0.12</v>
      </c>
      <c r="U6" s="21">
        <v>-0.08</v>
      </c>
      <c r="V6" s="21">
        <v>-2.5000000000000001E-2</v>
      </c>
      <c r="W6" s="61">
        <v>-0.08</v>
      </c>
      <c r="X6" s="21">
        <f t="shared" ref="X6:AN21" si="2">$R6</f>
        <v>-0.1</v>
      </c>
      <c r="Y6" s="21">
        <f t="shared" si="2"/>
        <v>-0.1</v>
      </c>
      <c r="Z6" s="21">
        <f t="shared" si="2"/>
        <v>-0.1</v>
      </c>
      <c r="AA6" s="21">
        <f t="shared" si="2"/>
        <v>-0.1</v>
      </c>
      <c r="AB6" s="21">
        <f t="shared" si="2"/>
        <v>-0.1</v>
      </c>
      <c r="AC6" s="21">
        <f t="shared" si="2"/>
        <v>-0.1</v>
      </c>
      <c r="AD6" s="21">
        <f t="shared" si="2"/>
        <v>-0.1</v>
      </c>
      <c r="AE6" s="21">
        <f t="shared" si="2"/>
        <v>-0.1</v>
      </c>
      <c r="AF6" s="21">
        <f t="shared" si="2"/>
        <v>-0.1</v>
      </c>
      <c r="AG6" s="21">
        <f t="shared" si="2"/>
        <v>-0.1</v>
      </c>
      <c r="AH6" s="21">
        <f t="shared" si="2"/>
        <v>-0.1</v>
      </c>
      <c r="AI6" s="21">
        <f t="shared" si="2"/>
        <v>-0.1</v>
      </c>
      <c r="AJ6" s="21">
        <f t="shared" si="2"/>
        <v>-0.1</v>
      </c>
      <c r="AK6" s="21">
        <f t="shared" si="2"/>
        <v>-0.1</v>
      </c>
      <c r="AL6" s="21">
        <f t="shared" si="2"/>
        <v>-0.1</v>
      </c>
      <c r="AM6" s="21">
        <f t="shared" si="2"/>
        <v>-0.1</v>
      </c>
      <c r="AN6" s="21">
        <f t="shared" si="2"/>
        <v>-0.1</v>
      </c>
      <c r="AO6" s="21">
        <f t="shared" ref="AN6:AX21" si="3">$R6</f>
        <v>-0.1</v>
      </c>
      <c r="AP6" s="21">
        <f t="shared" si="3"/>
        <v>-0.1</v>
      </c>
      <c r="AQ6" s="21">
        <f t="shared" si="3"/>
        <v>-0.1</v>
      </c>
      <c r="AR6" s="21">
        <f t="shared" si="3"/>
        <v>-0.1</v>
      </c>
      <c r="AS6" s="21">
        <f t="shared" si="3"/>
        <v>-0.1</v>
      </c>
      <c r="AT6" s="21">
        <f t="shared" si="3"/>
        <v>-0.1</v>
      </c>
      <c r="AU6" s="21">
        <f t="shared" si="3"/>
        <v>-0.1</v>
      </c>
      <c r="AV6" s="21">
        <f t="shared" si="3"/>
        <v>-0.1</v>
      </c>
      <c r="AW6" s="21">
        <f t="shared" si="3"/>
        <v>-0.1</v>
      </c>
      <c r="AX6" s="21">
        <f t="shared" si="3"/>
        <v>-0.1</v>
      </c>
    </row>
    <row r="7" spans="1:50" x14ac:dyDescent="0.35">
      <c r="B7" t="s">
        <v>6</v>
      </c>
      <c r="C7" s="17">
        <f>-367</f>
        <v>-367</v>
      </c>
      <c r="E7" s="24" t="s">
        <v>75</v>
      </c>
      <c r="F7" s="24"/>
      <c r="G7" s="25">
        <f ca="1">G14</f>
        <v>11017.050410401902</v>
      </c>
      <c r="H7" s="39">
        <f t="shared" ca="1" si="0"/>
        <v>1</v>
      </c>
      <c r="I7" s="28"/>
      <c r="J7" s="28"/>
      <c r="L7" s="24" t="s">
        <v>5</v>
      </c>
      <c r="M7" s="25"/>
      <c r="N7" s="25">
        <f ca="1">SUM(N5:N6)</f>
        <v>8959.0252083114701</v>
      </c>
      <c r="P7" t="s">
        <v>32</v>
      </c>
      <c r="Q7" s="58">
        <f t="shared" ca="1" si="1"/>
        <v>0.02</v>
      </c>
      <c r="R7" s="21">
        <v>0.02</v>
      </c>
      <c r="S7" s="21">
        <v>0.02</v>
      </c>
      <c r="T7" s="21">
        <v>0.02</v>
      </c>
      <c r="U7" s="21">
        <v>0.02</v>
      </c>
      <c r="V7" s="21">
        <v>0.01</v>
      </c>
      <c r="W7" s="21">
        <f t="shared" ref="W7:AL33" si="4">$R7</f>
        <v>0.02</v>
      </c>
      <c r="X7" s="61">
        <v>0.04</v>
      </c>
      <c r="Y7" s="21">
        <f t="shared" si="4"/>
        <v>0.02</v>
      </c>
      <c r="Z7" s="21">
        <f t="shared" si="4"/>
        <v>0.02</v>
      </c>
      <c r="AA7" s="21">
        <f t="shared" si="4"/>
        <v>0.02</v>
      </c>
      <c r="AB7" s="21">
        <f t="shared" si="4"/>
        <v>0.02</v>
      </c>
      <c r="AC7" s="21">
        <f t="shared" si="4"/>
        <v>0.02</v>
      </c>
      <c r="AD7" s="21">
        <f t="shared" si="4"/>
        <v>0.02</v>
      </c>
      <c r="AE7" s="21">
        <f t="shared" si="4"/>
        <v>0.02</v>
      </c>
      <c r="AF7" s="21">
        <f t="shared" si="4"/>
        <v>0.02</v>
      </c>
      <c r="AG7" s="21">
        <f t="shared" si="4"/>
        <v>0.02</v>
      </c>
      <c r="AH7" s="21">
        <f t="shared" si="4"/>
        <v>0.02</v>
      </c>
      <c r="AI7" s="21">
        <f t="shared" si="4"/>
        <v>0.02</v>
      </c>
      <c r="AJ7" s="21">
        <f t="shared" si="4"/>
        <v>0.02</v>
      </c>
      <c r="AK7" s="21">
        <f t="shared" si="4"/>
        <v>0.02</v>
      </c>
      <c r="AL7" s="21">
        <f t="shared" si="4"/>
        <v>0.02</v>
      </c>
      <c r="AM7" s="21">
        <f t="shared" si="2"/>
        <v>0.02</v>
      </c>
      <c r="AN7" s="21">
        <f t="shared" si="3"/>
        <v>0.02</v>
      </c>
      <c r="AO7" s="21">
        <f t="shared" si="3"/>
        <v>0.02</v>
      </c>
      <c r="AP7" s="21">
        <f t="shared" si="3"/>
        <v>0.02</v>
      </c>
      <c r="AQ7" s="21">
        <f t="shared" si="3"/>
        <v>0.02</v>
      </c>
      <c r="AR7" s="21">
        <f t="shared" si="3"/>
        <v>0.02</v>
      </c>
      <c r="AS7" s="21">
        <f t="shared" si="3"/>
        <v>0.02</v>
      </c>
      <c r="AT7" s="21">
        <f t="shared" si="3"/>
        <v>0.02</v>
      </c>
      <c r="AU7" s="21">
        <f t="shared" si="3"/>
        <v>0.02</v>
      </c>
      <c r="AV7" s="21">
        <f t="shared" si="3"/>
        <v>0.02</v>
      </c>
      <c r="AW7" s="21">
        <f t="shared" si="3"/>
        <v>0.02</v>
      </c>
      <c r="AX7" s="21">
        <f t="shared" si="3"/>
        <v>0.02</v>
      </c>
    </row>
    <row r="8" spans="1:50" x14ac:dyDescent="0.35">
      <c r="B8" t="s">
        <v>7</v>
      </c>
      <c r="C8" s="17">
        <f>1444</f>
        <v>1444</v>
      </c>
      <c r="L8" t="s">
        <v>89</v>
      </c>
      <c r="N8" s="17">
        <f ca="1">-(N7-G6)*$Q$33</f>
        <v>-206.41426497899548</v>
      </c>
      <c r="P8" t="s">
        <v>33</v>
      </c>
      <c r="Q8" s="58">
        <f t="shared" ca="1" si="1"/>
        <v>0.04</v>
      </c>
      <c r="R8" s="21">
        <v>0.04</v>
      </c>
      <c r="S8" s="21">
        <v>0.05</v>
      </c>
      <c r="T8" s="21">
        <v>0.03</v>
      </c>
      <c r="U8" s="21">
        <v>0.05</v>
      </c>
      <c r="V8" s="21">
        <v>0.03</v>
      </c>
      <c r="W8" s="21">
        <f t="shared" si="4"/>
        <v>0.04</v>
      </c>
      <c r="X8" s="21">
        <f t="shared" si="2"/>
        <v>0.04</v>
      </c>
      <c r="Y8" s="61">
        <v>0.06</v>
      </c>
      <c r="Z8" s="21">
        <f t="shared" si="2"/>
        <v>0.04</v>
      </c>
      <c r="AA8" s="21">
        <f t="shared" si="2"/>
        <v>0.04</v>
      </c>
      <c r="AB8" s="21">
        <f t="shared" si="2"/>
        <v>0.04</v>
      </c>
      <c r="AC8" s="21">
        <f t="shared" si="2"/>
        <v>0.04</v>
      </c>
      <c r="AD8" s="21">
        <f t="shared" si="2"/>
        <v>0.04</v>
      </c>
      <c r="AE8" s="21">
        <f t="shared" si="2"/>
        <v>0.04</v>
      </c>
      <c r="AF8" s="21">
        <f t="shared" si="2"/>
        <v>0.04</v>
      </c>
      <c r="AG8" s="21">
        <f t="shared" si="2"/>
        <v>0.04</v>
      </c>
      <c r="AH8" s="21">
        <f t="shared" si="2"/>
        <v>0.04</v>
      </c>
      <c r="AI8" s="21">
        <f t="shared" si="2"/>
        <v>0.04</v>
      </c>
      <c r="AJ8" s="21">
        <f t="shared" si="2"/>
        <v>0.04</v>
      </c>
      <c r="AK8" s="21">
        <f t="shared" si="2"/>
        <v>0.04</v>
      </c>
      <c r="AL8" s="21">
        <f t="shared" si="2"/>
        <v>0.04</v>
      </c>
      <c r="AM8" s="21">
        <f t="shared" si="2"/>
        <v>0.04</v>
      </c>
      <c r="AN8" s="21">
        <f t="shared" si="3"/>
        <v>0.04</v>
      </c>
      <c r="AO8" s="21">
        <f t="shared" si="3"/>
        <v>0.04</v>
      </c>
      <c r="AP8" s="21">
        <f t="shared" si="3"/>
        <v>0.04</v>
      </c>
      <c r="AQ8" s="21">
        <f t="shared" si="3"/>
        <v>0.04</v>
      </c>
      <c r="AR8" s="21">
        <f t="shared" si="3"/>
        <v>0.04</v>
      </c>
      <c r="AS8" s="21">
        <f t="shared" si="3"/>
        <v>0.04</v>
      </c>
      <c r="AT8" s="21">
        <f t="shared" si="3"/>
        <v>0.04</v>
      </c>
      <c r="AU8" s="21">
        <f t="shared" si="3"/>
        <v>0.04</v>
      </c>
      <c r="AV8" s="21">
        <f t="shared" si="3"/>
        <v>0.04</v>
      </c>
      <c r="AW8" s="21">
        <f t="shared" si="3"/>
        <v>0.04</v>
      </c>
      <c r="AX8" s="21">
        <f t="shared" si="3"/>
        <v>0.04</v>
      </c>
    </row>
    <row r="9" spans="1:50" ht="16" x14ac:dyDescent="0.5">
      <c r="B9" s="24" t="s">
        <v>8</v>
      </c>
      <c r="C9" s="25">
        <f ca="1">SUM(C6:C8)</f>
        <v>10784.04</v>
      </c>
      <c r="E9" s="76" t="s">
        <v>137</v>
      </c>
      <c r="F9" s="76"/>
      <c r="G9" s="76"/>
      <c r="H9" s="76"/>
      <c r="I9" s="76"/>
      <c r="L9" s="24" t="s">
        <v>90</v>
      </c>
      <c r="M9" s="25"/>
      <c r="N9" s="25">
        <f ca="1">SUM(N7:N8)</f>
        <v>8752.6109433324746</v>
      </c>
      <c r="P9" t="s">
        <v>34</v>
      </c>
      <c r="Q9" s="58">
        <f t="shared" ca="1" si="1"/>
        <v>-0.1</v>
      </c>
      <c r="R9" s="21">
        <v>-0.1</v>
      </c>
      <c r="S9" s="21">
        <v>-0.02</v>
      </c>
      <c r="T9" s="21">
        <v>-0.12</v>
      </c>
      <c r="U9" s="21">
        <v>-0.08</v>
      </c>
      <c r="V9" s="21">
        <v>-2.5000000000000001E-2</v>
      </c>
      <c r="W9" s="21">
        <f t="shared" si="4"/>
        <v>-0.1</v>
      </c>
      <c r="X9" s="21">
        <f t="shared" si="2"/>
        <v>-0.1</v>
      </c>
      <c r="Y9" s="21">
        <f t="shared" si="2"/>
        <v>-0.1</v>
      </c>
      <c r="Z9" s="61">
        <v>-0.08</v>
      </c>
      <c r="AA9" s="21">
        <f t="shared" si="2"/>
        <v>-0.1</v>
      </c>
      <c r="AB9" s="21">
        <f t="shared" si="2"/>
        <v>-0.1</v>
      </c>
      <c r="AC9" s="21">
        <f t="shared" si="2"/>
        <v>-0.1</v>
      </c>
      <c r="AD9" s="21">
        <f t="shared" si="2"/>
        <v>-0.1</v>
      </c>
      <c r="AE9" s="21">
        <f t="shared" si="2"/>
        <v>-0.1</v>
      </c>
      <c r="AF9" s="21">
        <f t="shared" si="2"/>
        <v>-0.1</v>
      </c>
      <c r="AG9" s="21">
        <f t="shared" si="2"/>
        <v>-0.1</v>
      </c>
      <c r="AH9" s="21">
        <f t="shared" si="2"/>
        <v>-0.1</v>
      </c>
      <c r="AI9" s="21">
        <f t="shared" si="2"/>
        <v>-0.1</v>
      </c>
      <c r="AJ9" s="21">
        <f t="shared" si="2"/>
        <v>-0.1</v>
      </c>
      <c r="AK9" s="21">
        <f t="shared" si="2"/>
        <v>-0.1</v>
      </c>
      <c r="AL9" s="21">
        <f t="shared" si="2"/>
        <v>-0.1</v>
      </c>
      <c r="AM9" s="21">
        <f t="shared" si="2"/>
        <v>-0.1</v>
      </c>
      <c r="AN9" s="21">
        <f t="shared" si="3"/>
        <v>-0.1</v>
      </c>
      <c r="AO9" s="21">
        <f t="shared" si="3"/>
        <v>-0.1</v>
      </c>
      <c r="AP9" s="21">
        <f t="shared" si="3"/>
        <v>-0.1</v>
      </c>
      <c r="AQ9" s="21">
        <f t="shared" si="3"/>
        <v>-0.1</v>
      </c>
      <c r="AR9" s="21">
        <f t="shared" si="3"/>
        <v>-0.1</v>
      </c>
      <c r="AS9" s="21">
        <f t="shared" si="3"/>
        <v>-0.1</v>
      </c>
      <c r="AT9" s="21">
        <f t="shared" si="3"/>
        <v>-0.1</v>
      </c>
      <c r="AU9" s="21">
        <f t="shared" si="3"/>
        <v>-0.1</v>
      </c>
      <c r="AV9" s="21">
        <f t="shared" si="3"/>
        <v>-0.1</v>
      </c>
      <c r="AW9" s="21">
        <f t="shared" si="3"/>
        <v>-0.1</v>
      </c>
      <c r="AX9" s="21">
        <f t="shared" si="3"/>
        <v>-0.1</v>
      </c>
    </row>
    <row r="10" spans="1:50" x14ac:dyDescent="0.35">
      <c r="E10" s="9"/>
      <c r="F10" s="9"/>
      <c r="G10" s="74" t="s">
        <v>141</v>
      </c>
      <c r="H10" s="72" t="s">
        <v>78</v>
      </c>
      <c r="I10" s="72" t="s">
        <v>138</v>
      </c>
      <c r="P10" t="s">
        <v>41</v>
      </c>
      <c r="Q10" s="58">
        <f t="shared" ca="1" si="1"/>
        <v>0.02</v>
      </c>
      <c r="R10" s="21">
        <v>0.02</v>
      </c>
      <c r="S10" s="21">
        <v>0.02</v>
      </c>
      <c r="T10" s="21">
        <v>0.02</v>
      </c>
      <c r="U10" s="21">
        <v>0.02</v>
      </c>
      <c r="V10" s="21">
        <v>0.01</v>
      </c>
      <c r="W10" s="21">
        <f t="shared" si="4"/>
        <v>0.02</v>
      </c>
      <c r="X10" s="21">
        <f t="shared" si="2"/>
        <v>0.02</v>
      </c>
      <c r="Y10" s="21">
        <f t="shared" si="2"/>
        <v>0.02</v>
      </c>
      <c r="Z10" s="21">
        <f t="shared" si="2"/>
        <v>0.02</v>
      </c>
      <c r="AA10" s="61">
        <v>0.04</v>
      </c>
      <c r="AB10" s="21">
        <f t="shared" si="2"/>
        <v>0.02</v>
      </c>
      <c r="AC10" s="21">
        <f t="shared" si="2"/>
        <v>0.02</v>
      </c>
      <c r="AD10" s="21">
        <f t="shared" si="2"/>
        <v>0.02</v>
      </c>
      <c r="AE10" s="21">
        <f t="shared" si="2"/>
        <v>0.02</v>
      </c>
      <c r="AF10" s="21">
        <f t="shared" si="2"/>
        <v>0.02</v>
      </c>
      <c r="AG10" s="21">
        <f t="shared" si="2"/>
        <v>0.02</v>
      </c>
      <c r="AH10" s="21">
        <f t="shared" si="2"/>
        <v>0.02</v>
      </c>
      <c r="AI10" s="21">
        <f t="shared" si="2"/>
        <v>0.02</v>
      </c>
      <c r="AJ10" s="21">
        <f t="shared" si="2"/>
        <v>0.02</v>
      </c>
      <c r="AK10" s="21">
        <f t="shared" si="2"/>
        <v>0.02</v>
      </c>
      <c r="AL10" s="21">
        <f t="shared" si="2"/>
        <v>0.02</v>
      </c>
      <c r="AM10" s="21">
        <f t="shared" si="2"/>
        <v>0.02</v>
      </c>
      <c r="AN10" s="21">
        <f t="shared" si="3"/>
        <v>0.02</v>
      </c>
      <c r="AO10" s="21">
        <f t="shared" si="3"/>
        <v>0.02</v>
      </c>
      <c r="AP10" s="21">
        <f t="shared" si="3"/>
        <v>0.02</v>
      </c>
      <c r="AQ10" s="21">
        <f t="shared" si="3"/>
        <v>0.02</v>
      </c>
      <c r="AR10" s="21">
        <f t="shared" si="3"/>
        <v>0.02</v>
      </c>
      <c r="AS10" s="21">
        <f t="shared" si="3"/>
        <v>0.02</v>
      </c>
      <c r="AT10" s="21">
        <f t="shared" si="3"/>
        <v>0.02</v>
      </c>
      <c r="AU10" s="21">
        <f t="shared" si="3"/>
        <v>0.02</v>
      </c>
      <c r="AV10" s="21">
        <f t="shared" si="3"/>
        <v>0.02</v>
      </c>
      <c r="AW10" s="21">
        <f t="shared" si="3"/>
        <v>0.02</v>
      </c>
      <c r="AX10" s="21">
        <f t="shared" si="3"/>
        <v>0.02</v>
      </c>
    </row>
    <row r="11" spans="1:50" x14ac:dyDescent="0.35">
      <c r="B11" s="32" t="s">
        <v>71</v>
      </c>
      <c r="C11" s="50">
        <f ca="1">C9/C50</f>
        <v>7.1941561040693802</v>
      </c>
      <c r="E11" t="s">
        <v>1</v>
      </c>
      <c r="G11" s="17">
        <f ca="1">C9</f>
        <v>10784.04</v>
      </c>
      <c r="H11" s="20">
        <f ca="1">G11/$G$7</f>
        <v>0.97885001867814814</v>
      </c>
      <c r="O11" t="s">
        <v>16</v>
      </c>
      <c r="P11" t="s">
        <v>42</v>
      </c>
      <c r="Q11" s="58">
        <f t="shared" ca="1" si="1"/>
        <v>0.04</v>
      </c>
      <c r="R11" s="21">
        <v>0.04</v>
      </c>
      <c r="S11" s="21">
        <v>0.05</v>
      </c>
      <c r="T11" s="21">
        <v>0.03</v>
      </c>
      <c r="U11" s="21">
        <v>0.05</v>
      </c>
      <c r="V11" s="21">
        <v>0.05</v>
      </c>
      <c r="W11" s="21">
        <f t="shared" si="4"/>
        <v>0.04</v>
      </c>
      <c r="X11" s="21">
        <f t="shared" si="2"/>
        <v>0.04</v>
      </c>
      <c r="Y11" s="21">
        <f t="shared" si="2"/>
        <v>0.04</v>
      </c>
      <c r="Z11" s="21">
        <f t="shared" si="2"/>
        <v>0.04</v>
      </c>
      <c r="AA11" s="21">
        <f t="shared" si="2"/>
        <v>0.04</v>
      </c>
      <c r="AB11" s="61">
        <v>0.06</v>
      </c>
      <c r="AC11" s="21">
        <f t="shared" si="2"/>
        <v>0.04</v>
      </c>
      <c r="AD11" s="21">
        <f t="shared" si="2"/>
        <v>0.04</v>
      </c>
      <c r="AE11" s="21">
        <f t="shared" si="2"/>
        <v>0.04</v>
      </c>
      <c r="AF11" s="21">
        <f t="shared" si="2"/>
        <v>0.04</v>
      </c>
      <c r="AG11" s="21">
        <f t="shared" si="2"/>
        <v>0.04</v>
      </c>
      <c r="AH11" s="21">
        <f t="shared" si="2"/>
        <v>0.04</v>
      </c>
      <c r="AI11" s="21">
        <f t="shared" si="2"/>
        <v>0.04</v>
      </c>
      <c r="AJ11" s="21">
        <f t="shared" si="2"/>
        <v>0.04</v>
      </c>
      <c r="AK11" s="21">
        <f t="shared" si="2"/>
        <v>0.04</v>
      </c>
      <c r="AL11" s="21">
        <f t="shared" si="2"/>
        <v>0.04</v>
      </c>
      <c r="AM11" s="21">
        <f t="shared" si="2"/>
        <v>0.04</v>
      </c>
      <c r="AN11" s="21">
        <f t="shared" si="3"/>
        <v>0.04</v>
      </c>
      <c r="AO11" s="21">
        <f t="shared" si="3"/>
        <v>0.04</v>
      </c>
      <c r="AP11" s="21">
        <f t="shared" si="3"/>
        <v>0.04</v>
      </c>
      <c r="AQ11" s="21">
        <f t="shared" si="3"/>
        <v>0.04</v>
      </c>
      <c r="AR11" s="21">
        <f t="shared" si="3"/>
        <v>0.04</v>
      </c>
      <c r="AS11" s="21">
        <f t="shared" si="3"/>
        <v>0.04</v>
      </c>
      <c r="AT11" s="21">
        <f t="shared" si="3"/>
        <v>0.04</v>
      </c>
      <c r="AU11" s="21">
        <f t="shared" si="3"/>
        <v>0.04</v>
      </c>
      <c r="AV11" s="21">
        <f t="shared" si="3"/>
        <v>0.04</v>
      </c>
      <c r="AW11" s="21">
        <f t="shared" si="3"/>
        <v>0.04</v>
      </c>
      <c r="AX11" s="21">
        <f t="shared" si="3"/>
        <v>0.04</v>
      </c>
    </row>
    <row r="12" spans="1:50" x14ac:dyDescent="0.35">
      <c r="B12" s="32" t="s">
        <v>70</v>
      </c>
      <c r="C12" s="50">
        <f ca="1">C9/D50</f>
        <v>9.6924534567392246</v>
      </c>
      <c r="E12" t="s">
        <v>76</v>
      </c>
      <c r="G12" s="17">
        <f ca="1">SUM(G4:G5)*2.5%</f>
        <v>125.17001040190203</v>
      </c>
      <c r="H12" s="20">
        <f t="shared" ref="H12:H14" ca="1" si="5">G12/$G$7</f>
        <v>1.136148113507051E-2</v>
      </c>
      <c r="I12" t="s">
        <v>142</v>
      </c>
      <c r="P12" t="s">
        <v>35</v>
      </c>
      <c r="Q12" s="58">
        <f t="shared" ca="1" si="1"/>
        <v>-0.1</v>
      </c>
      <c r="R12" s="21">
        <v>-0.1</v>
      </c>
      <c r="S12" s="21">
        <v>-0.02</v>
      </c>
      <c r="T12" s="21">
        <v>-0.12</v>
      </c>
      <c r="U12" s="21">
        <v>-0.08</v>
      </c>
      <c r="V12" s="21">
        <v>-2.5000000000000001E-2</v>
      </c>
      <c r="W12" s="21">
        <f t="shared" si="4"/>
        <v>-0.1</v>
      </c>
      <c r="X12" s="21">
        <f t="shared" si="2"/>
        <v>-0.1</v>
      </c>
      <c r="Y12" s="21">
        <f t="shared" si="2"/>
        <v>-0.1</v>
      </c>
      <c r="Z12" s="21">
        <f t="shared" si="2"/>
        <v>-0.1</v>
      </c>
      <c r="AA12" s="21">
        <f t="shared" si="2"/>
        <v>-0.1</v>
      </c>
      <c r="AB12" s="21">
        <f t="shared" si="2"/>
        <v>-0.1</v>
      </c>
      <c r="AC12" s="61">
        <v>-0.08</v>
      </c>
      <c r="AD12" s="21">
        <f t="shared" si="2"/>
        <v>-0.1</v>
      </c>
      <c r="AE12" s="21">
        <f t="shared" si="2"/>
        <v>-0.1</v>
      </c>
      <c r="AF12" s="21">
        <f t="shared" si="2"/>
        <v>-0.1</v>
      </c>
      <c r="AG12" s="21">
        <f t="shared" si="2"/>
        <v>-0.1</v>
      </c>
      <c r="AH12" s="21">
        <f t="shared" si="2"/>
        <v>-0.1</v>
      </c>
      <c r="AI12" s="21">
        <f t="shared" si="2"/>
        <v>-0.1</v>
      </c>
      <c r="AJ12" s="21">
        <f t="shared" si="2"/>
        <v>-0.1</v>
      </c>
      <c r="AK12" s="21">
        <f t="shared" si="2"/>
        <v>-0.1</v>
      </c>
      <c r="AL12" s="21">
        <f t="shared" si="2"/>
        <v>-0.1</v>
      </c>
      <c r="AM12" s="21">
        <f t="shared" si="2"/>
        <v>-0.1</v>
      </c>
      <c r="AN12" s="21">
        <f t="shared" si="3"/>
        <v>-0.1</v>
      </c>
      <c r="AO12" s="21">
        <f t="shared" si="3"/>
        <v>-0.1</v>
      </c>
      <c r="AP12" s="21">
        <f t="shared" si="3"/>
        <v>-0.1</v>
      </c>
      <c r="AQ12" s="21">
        <f t="shared" si="3"/>
        <v>-0.1</v>
      </c>
      <c r="AR12" s="21">
        <f t="shared" si="3"/>
        <v>-0.1</v>
      </c>
      <c r="AS12" s="21">
        <f t="shared" si="3"/>
        <v>-0.1</v>
      </c>
      <c r="AT12" s="21">
        <f t="shared" si="3"/>
        <v>-0.1</v>
      </c>
      <c r="AU12" s="21">
        <f t="shared" si="3"/>
        <v>-0.1</v>
      </c>
      <c r="AV12" s="21">
        <f t="shared" si="3"/>
        <v>-0.1</v>
      </c>
      <c r="AW12" s="21">
        <f t="shared" si="3"/>
        <v>-0.1</v>
      </c>
      <c r="AX12" s="21">
        <f t="shared" si="3"/>
        <v>-0.1</v>
      </c>
    </row>
    <row r="13" spans="1:50" x14ac:dyDescent="0.35">
      <c r="B13" s="32" t="s">
        <v>135</v>
      </c>
      <c r="C13" s="50">
        <f ca="1">C9/1440</f>
        <v>7.4889166666666673</v>
      </c>
      <c r="D13" s="15"/>
      <c r="E13" t="s">
        <v>77</v>
      </c>
      <c r="G13" s="17">
        <f ca="1">G11*1%</f>
        <v>107.84040000000002</v>
      </c>
      <c r="H13" s="20">
        <f t="shared" ca="1" si="5"/>
        <v>9.7885001867814812E-3</v>
      </c>
      <c r="I13" t="s">
        <v>143</v>
      </c>
      <c r="P13" t="s">
        <v>39</v>
      </c>
      <c r="Q13" s="58">
        <f t="shared" ca="1" si="1"/>
        <v>0.02</v>
      </c>
      <c r="R13" s="21">
        <v>0.02</v>
      </c>
      <c r="S13" s="21">
        <v>0.02</v>
      </c>
      <c r="T13" s="21">
        <v>0.02</v>
      </c>
      <c r="U13" s="21">
        <v>0.02</v>
      </c>
      <c r="V13" s="21">
        <v>0.02</v>
      </c>
      <c r="W13" s="21">
        <f t="shared" si="4"/>
        <v>0.02</v>
      </c>
      <c r="X13" s="21">
        <f t="shared" si="2"/>
        <v>0.02</v>
      </c>
      <c r="Y13" s="21">
        <f t="shared" si="2"/>
        <v>0.02</v>
      </c>
      <c r="Z13" s="21">
        <f t="shared" si="2"/>
        <v>0.02</v>
      </c>
      <c r="AA13" s="21">
        <f t="shared" si="2"/>
        <v>0.02</v>
      </c>
      <c r="AB13" s="21">
        <f t="shared" si="2"/>
        <v>0.02</v>
      </c>
      <c r="AC13" s="21">
        <f t="shared" si="2"/>
        <v>0.02</v>
      </c>
      <c r="AD13" s="61">
        <v>0.04</v>
      </c>
      <c r="AE13" s="21">
        <f t="shared" si="2"/>
        <v>0.02</v>
      </c>
      <c r="AF13" s="21">
        <f t="shared" si="2"/>
        <v>0.02</v>
      </c>
      <c r="AG13" s="21">
        <f t="shared" si="2"/>
        <v>0.02</v>
      </c>
      <c r="AH13" s="21">
        <f t="shared" si="2"/>
        <v>0.02</v>
      </c>
      <c r="AI13" s="21">
        <f t="shared" si="2"/>
        <v>0.02</v>
      </c>
      <c r="AJ13" s="21">
        <f t="shared" si="2"/>
        <v>0.02</v>
      </c>
      <c r="AK13" s="21">
        <f t="shared" si="2"/>
        <v>0.02</v>
      </c>
      <c r="AL13" s="21">
        <f t="shared" si="2"/>
        <v>0.02</v>
      </c>
      <c r="AM13" s="21">
        <f t="shared" si="2"/>
        <v>0.02</v>
      </c>
      <c r="AN13" s="21">
        <f t="shared" si="3"/>
        <v>0.02</v>
      </c>
      <c r="AO13" s="21">
        <f t="shared" si="3"/>
        <v>0.02</v>
      </c>
      <c r="AP13" s="21">
        <f t="shared" si="3"/>
        <v>0.02</v>
      </c>
      <c r="AQ13" s="21">
        <f t="shared" si="3"/>
        <v>0.02</v>
      </c>
      <c r="AR13" s="21">
        <f t="shared" si="3"/>
        <v>0.02</v>
      </c>
      <c r="AS13" s="21">
        <f t="shared" si="3"/>
        <v>0.02</v>
      </c>
      <c r="AT13" s="21">
        <f t="shared" si="3"/>
        <v>0.02</v>
      </c>
      <c r="AU13" s="21">
        <f t="shared" si="3"/>
        <v>0.02</v>
      </c>
      <c r="AV13" s="21">
        <f t="shared" si="3"/>
        <v>0.02</v>
      </c>
      <c r="AW13" s="21">
        <f t="shared" si="3"/>
        <v>0.02</v>
      </c>
      <c r="AX13" s="21">
        <f t="shared" si="3"/>
        <v>0.02</v>
      </c>
    </row>
    <row r="14" spans="1:50" x14ac:dyDescent="0.35">
      <c r="E14" s="24" t="s">
        <v>109</v>
      </c>
      <c r="F14" s="24"/>
      <c r="G14" s="25">
        <f ca="1">SUM(G11:G13)</f>
        <v>11017.050410401902</v>
      </c>
      <c r="H14" s="39">
        <f t="shared" ca="1" si="5"/>
        <v>1</v>
      </c>
      <c r="I14" s="39"/>
      <c r="P14" t="s">
        <v>40</v>
      </c>
      <c r="Q14" s="58">
        <f t="shared" ca="1" si="1"/>
        <v>0.04</v>
      </c>
      <c r="R14" s="21">
        <v>0.04</v>
      </c>
      <c r="S14" s="21">
        <v>0.05</v>
      </c>
      <c r="T14" s="21">
        <v>0.03</v>
      </c>
      <c r="U14" s="21">
        <v>0.05</v>
      </c>
      <c r="V14" s="21">
        <v>0.01</v>
      </c>
      <c r="W14" s="21">
        <f t="shared" si="4"/>
        <v>0.04</v>
      </c>
      <c r="X14" s="21">
        <f t="shared" si="2"/>
        <v>0.04</v>
      </c>
      <c r="Y14" s="21">
        <f t="shared" si="2"/>
        <v>0.04</v>
      </c>
      <c r="Z14" s="21">
        <f t="shared" si="2"/>
        <v>0.04</v>
      </c>
      <c r="AA14" s="21">
        <f t="shared" si="2"/>
        <v>0.04</v>
      </c>
      <c r="AB14" s="21">
        <f t="shared" si="2"/>
        <v>0.04</v>
      </c>
      <c r="AC14" s="21">
        <f t="shared" si="2"/>
        <v>0.04</v>
      </c>
      <c r="AD14" s="21">
        <f t="shared" si="2"/>
        <v>0.04</v>
      </c>
      <c r="AE14" s="61">
        <v>0.06</v>
      </c>
      <c r="AF14" s="21">
        <f t="shared" si="2"/>
        <v>0.04</v>
      </c>
      <c r="AG14" s="21">
        <f t="shared" si="2"/>
        <v>0.04</v>
      </c>
      <c r="AH14" s="21">
        <f t="shared" si="2"/>
        <v>0.04</v>
      </c>
      <c r="AI14" s="21">
        <f t="shared" si="2"/>
        <v>0.04</v>
      </c>
      <c r="AJ14" s="21">
        <f t="shared" si="2"/>
        <v>0.04</v>
      </c>
      <c r="AK14" s="21">
        <f t="shared" si="2"/>
        <v>0.04</v>
      </c>
      <c r="AL14" s="21">
        <f t="shared" si="2"/>
        <v>0.04</v>
      </c>
      <c r="AM14" s="21">
        <f t="shared" si="2"/>
        <v>0.04</v>
      </c>
      <c r="AN14" s="21">
        <f t="shared" si="3"/>
        <v>0.04</v>
      </c>
      <c r="AO14" s="21">
        <f t="shared" si="3"/>
        <v>0.04</v>
      </c>
      <c r="AP14" s="21">
        <f t="shared" si="3"/>
        <v>0.04</v>
      </c>
      <c r="AQ14" s="21">
        <f t="shared" si="3"/>
        <v>0.04</v>
      </c>
      <c r="AR14" s="21">
        <f t="shared" si="3"/>
        <v>0.04</v>
      </c>
      <c r="AS14" s="21">
        <f t="shared" si="3"/>
        <v>0.04</v>
      </c>
      <c r="AT14" s="21">
        <f t="shared" si="3"/>
        <v>0.04</v>
      </c>
      <c r="AU14" s="21">
        <f t="shared" si="3"/>
        <v>0.04</v>
      </c>
      <c r="AV14" s="21">
        <f t="shared" si="3"/>
        <v>0.04</v>
      </c>
      <c r="AW14" s="21">
        <f t="shared" si="3"/>
        <v>0.04</v>
      </c>
      <c r="AX14" s="21">
        <f t="shared" si="3"/>
        <v>0.04</v>
      </c>
    </row>
    <row r="15" spans="1:50" x14ac:dyDescent="0.35">
      <c r="P15" t="s">
        <v>37</v>
      </c>
      <c r="Q15" s="58">
        <f t="shared" ca="1" si="1"/>
        <v>-0.1</v>
      </c>
      <c r="R15" s="21">
        <v>-0.1</v>
      </c>
      <c r="S15" s="21">
        <v>-0.02</v>
      </c>
      <c r="T15" s="21">
        <v>-0.12</v>
      </c>
      <c r="U15" s="21">
        <v>-0.08</v>
      </c>
      <c r="V15" s="21">
        <v>-2.5000000000000001E-2</v>
      </c>
      <c r="W15" s="21">
        <f t="shared" si="4"/>
        <v>-0.1</v>
      </c>
      <c r="X15" s="21">
        <f t="shared" si="2"/>
        <v>-0.1</v>
      </c>
      <c r="Y15" s="21">
        <f t="shared" si="2"/>
        <v>-0.1</v>
      </c>
      <c r="Z15" s="21">
        <f t="shared" si="2"/>
        <v>-0.1</v>
      </c>
      <c r="AA15" s="21">
        <f t="shared" si="2"/>
        <v>-0.1</v>
      </c>
      <c r="AB15" s="21">
        <f t="shared" si="2"/>
        <v>-0.1</v>
      </c>
      <c r="AC15" s="21">
        <f t="shared" si="2"/>
        <v>-0.1</v>
      </c>
      <c r="AD15" s="21">
        <f t="shared" si="2"/>
        <v>-0.1</v>
      </c>
      <c r="AE15" s="21">
        <f t="shared" si="2"/>
        <v>-0.1</v>
      </c>
      <c r="AF15" s="61">
        <v>-0.08</v>
      </c>
      <c r="AG15" s="21">
        <f t="shared" si="2"/>
        <v>-0.1</v>
      </c>
      <c r="AH15" s="21">
        <f t="shared" si="2"/>
        <v>-0.1</v>
      </c>
      <c r="AI15" s="21">
        <f t="shared" si="2"/>
        <v>-0.1</v>
      </c>
      <c r="AJ15" s="21">
        <f t="shared" si="2"/>
        <v>-0.1</v>
      </c>
      <c r="AK15" s="21">
        <f t="shared" si="2"/>
        <v>-0.1</v>
      </c>
      <c r="AL15" s="21">
        <f t="shared" si="2"/>
        <v>-0.1</v>
      </c>
      <c r="AM15" s="21">
        <f t="shared" si="2"/>
        <v>-0.1</v>
      </c>
      <c r="AN15" s="21">
        <f t="shared" si="3"/>
        <v>-0.1</v>
      </c>
      <c r="AO15" s="21">
        <f t="shared" si="3"/>
        <v>-0.1</v>
      </c>
      <c r="AP15" s="21">
        <f t="shared" si="3"/>
        <v>-0.1</v>
      </c>
      <c r="AQ15" s="21">
        <f t="shared" si="3"/>
        <v>-0.1</v>
      </c>
      <c r="AR15" s="21">
        <f t="shared" si="3"/>
        <v>-0.1</v>
      </c>
      <c r="AS15" s="21">
        <f t="shared" si="3"/>
        <v>-0.1</v>
      </c>
      <c r="AT15" s="21">
        <f t="shared" si="3"/>
        <v>-0.1</v>
      </c>
      <c r="AU15" s="21">
        <f t="shared" si="3"/>
        <v>-0.1</v>
      </c>
      <c r="AV15" s="21">
        <f t="shared" si="3"/>
        <v>-0.1</v>
      </c>
      <c r="AW15" s="21">
        <f t="shared" si="3"/>
        <v>-0.1</v>
      </c>
      <c r="AX15" s="21">
        <f t="shared" si="3"/>
        <v>-0.1</v>
      </c>
    </row>
    <row r="16" spans="1:50" ht="16" x14ac:dyDescent="0.5">
      <c r="A16" t="s">
        <v>0</v>
      </c>
      <c r="B16" s="4" t="s">
        <v>92</v>
      </c>
      <c r="C16" s="3"/>
      <c r="D16" s="3"/>
      <c r="E16" s="3"/>
      <c r="F16" s="3"/>
      <c r="G16" s="3"/>
      <c r="H16" s="3"/>
      <c r="I16" s="3"/>
      <c r="P16" t="s">
        <v>38</v>
      </c>
      <c r="Q16" s="58">
        <f t="shared" ca="1" si="1"/>
        <v>0.02</v>
      </c>
      <c r="R16" s="21">
        <v>0.02</v>
      </c>
      <c r="S16" s="21">
        <v>0.02</v>
      </c>
      <c r="T16" s="21">
        <v>0.02</v>
      </c>
      <c r="U16" s="21">
        <v>0.02</v>
      </c>
      <c r="V16" s="21">
        <v>0.02</v>
      </c>
      <c r="W16" s="21">
        <f t="shared" si="4"/>
        <v>0.02</v>
      </c>
      <c r="X16" s="21">
        <f t="shared" si="2"/>
        <v>0.02</v>
      </c>
      <c r="Y16" s="21">
        <f t="shared" si="2"/>
        <v>0.02</v>
      </c>
      <c r="Z16" s="21">
        <f t="shared" si="2"/>
        <v>0.02</v>
      </c>
      <c r="AA16" s="21">
        <f t="shared" si="2"/>
        <v>0.02</v>
      </c>
      <c r="AB16" s="21">
        <f t="shared" si="2"/>
        <v>0.02</v>
      </c>
      <c r="AC16" s="21">
        <f t="shared" si="2"/>
        <v>0.02</v>
      </c>
      <c r="AD16" s="21">
        <f t="shared" si="2"/>
        <v>0.02</v>
      </c>
      <c r="AE16" s="21">
        <f t="shared" si="2"/>
        <v>0.02</v>
      </c>
      <c r="AF16" s="21">
        <f t="shared" si="2"/>
        <v>0.02</v>
      </c>
      <c r="AG16" s="61">
        <v>0.04</v>
      </c>
      <c r="AH16" s="21">
        <f t="shared" si="2"/>
        <v>0.02</v>
      </c>
      <c r="AI16" s="21">
        <f t="shared" si="2"/>
        <v>0.02</v>
      </c>
      <c r="AJ16" s="21">
        <f t="shared" si="2"/>
        <v>0.02</v>
      </c>
      <c r="AK16" s="21">
        <f t="shared" si="2"/>
        <v>0.02</v>
      </c>
      <c r="AL16" s="21">
        <f t="shared" si="2"/>
        <v>0.02</v>
      </c>
      <c r="AM16" s="21">
        <f t="shared" si="2"/>
        <v>0.02</v>
      </c>
      <c r="AN16" s="21">
        <f t="shared" si="3"/>
        <v>0.02</v>
      </c>
      <c r="AO16" s="21">
        <f t="shared" si="3"/>
        <v>0.02</v>
      </c>
      <c r="AP16" s="21">
        <f t="shared" si="3"/>
        <v>0.02</v>
      </c>
      <c r="AQ16" s="21">
        <f t="shared" si="3"/>
        <v>0.02</v>
      </c>
      <c r="AR16" s="21">
        <f t="shared" si="3"/>
        <v>0.02</v>
      </c>
      <c r="AS16" s="21">
        <f t="shared" si="3"/>
        <v>0.02</v>
      </c>
      <c r="AT16" s="21">
        <f t="shared" si="3"/>
        <v>0.02</v>
      </c>
      <c r="AU16" s="21">
        <f t="shared" si="3"/>
        <v>0.02</v>
      </c>
      <c r="AV16" s="21">
        <f t="shared" si="3"/>
        <v>0.02</v>
      </c>
      <c r="AW16" s="21">
        <f t="shared" si="3"/>
        <v>0.02</v>
      </c>
      <c r="AX16" s="21">
        <f t="shared" si="3"/>
        <v>0.02</v>
      </c>
    </row>
    <row r="17" spans="1:50" x14ac:dyDescent="0.35">
      <c r="P17" t="s">
        <v>36</v>
      </c>
      <c r="Q17" s="58">
        <f t="shared" ca="1" si="1"/>
        <v>0.04</v>
      </c>
      <c r="R17" s="21">
        <v>0.04</v>
      </c>
      <c r="S17" s="21">
        <v>0.05</v>
      </c>
      <c r="T17" s="21">
        <v>0.03</v>
      </c>
      <c r="U17" s="21">
        <v>0.05</v>
      </c>
      <c r="V17" s="21">
        <v>0.05</v>
      </c>
      <c r="W17" s="21">
        <f t="shared" si="4"/>
        <v>0.04</v>
      </c>
      <c r="X17" s="21">
        <f t="shared" si="2"/>
        <v>0.04</v>
      </c>
      <c r="Y17" s="21">
        <f t="shared" si="2"/>
        <v>0.04</v>
      </c>
      <c r="Z17" s="21">
        <f t="shared" si="2"/>
        <v>0.04</v>
      </c>
      <c r="AA17" s="21">
        <f t="shared" si="2"/>
        <v>0.04</v>
      </c>
      <c r="AB17" s="21">
        <f t="shared" si="2"/>
        <v>0.04</v>
      </c>
      <c r="AC17" s="21">
        <f t="shared" si="2"/>
        <v>0.04</v>
      </c>
      <c r="AD17" s="21">
        <f t="shared" si="2"/>
        <v>0.04</v>
      </c>
      <c r="AE17" s="21">
        <f t="shared" si="2"/>
        <v>0.04</v>
      </c>
      <c r="AF17" s="21">
        <f t="shared" si="2"/>
        <v>0.04</v>
      </c>
      <c r="AG17" s="21">
        <f t="shared" si="2"/>
        <v>0.04</v>
      </c>
      <c r="AH17" s="61">
        <v>0.06</v>
      </c>
      <c r="AI17" s="21">
        <f t="shared" si="2"/>
        <v>0.04</v>
      </c>
      <c r="AJ17" s="21">
        <f t="shared" si="2"/>
        <v>0.04</v>
      </c>
      <c r="AK17" s="21">
        <f t="shared" si="2"/>
        <v>0.04</v>
      </c>
      <c r="AL17" s="21">
        <f t="shared" si="2"/>
        <v>0.04</v>
      </c>
      <c r="AM17" s="21">
        <f t="shared" si="2"/>
        <v>0.04</v>
      </c>
      <c r="AN17" s="21">
        <f t="shared" si="3"/>
        <v>0.04</v>
      </c>
      <c r="AO17" s="21">
        <f t="shared" si="3"/>
        <v>0.04</v>
      </c>
      <c r="AP17" s="21">
        <f t="shared" si="3"/>
        <v>0.04</v>
      </c>
      <c r="AQ17" s="21">
        <f t="shared" si="3"/>
        <v>0.04</v>
      </c>
      <c r="AR17" s="21">
        <f t="shared" si="3"/>
        <v>0.04</v>
      </c>
      <c r="AS17" s="21">
        <f t="shared" si="3"/>
        <v>0.04</v>
      </c>
      <c r="AT17" s="21">
        <f t="shared" si="3"/>
        <v>0.04</v>
      </c>
      <c r="AU17" s="21">
        <f t="shared" si="3"/>
        <v>0.04</v>
      </c>
      <c r="AV17" s="21">
        <f t="shared" si="3"/>
        <v>0.04</v>
      </c>
      <c r="AW17" s="21">
        <f t="shared" si="3"/>
        <v>0.04</v>
      </c>
      <c r="AX17" s="21">
        <f t="shared" si="3"/>
        <v>0.04</v>
      </c>
    </row>
    <row r="18" spans="1:50" ht="16" x14ac:dyDescent="0.5">
      <c r="B18" s="6"/>
      <c r="C18" s="40">
        <f>C29</f>
        <v>44957</v>
      </c>
      <c r="D18" s="7">
        <f t="shared" ref="D18:H18" si="6">D29</f>
        <v>45322</v>
      </c>
      <c r="E18" s="7">
        <f t="shared" si="6"/>
        <v>45687</v>
      </c>
      <c r="F18" s="7">
        <f t="shared" si="6"/>
        <v>46052</v>
      </c>
      <c r="G18" s="7">
        <f t="shared" si="6"/>
        <v>46417</v>
      </c>
      <c r="H18" s="7">
        <f t="shared" si="6"/>
        <v>46782</v>
      </c>
      <c r="P18" t="s">
        <v>25</v>
      </c>
      <c r="Q18" s="59">
        <f t="shared" ca="1" si="1"/>
        <v>5.0999999999999997E-2</v>
      </c>
      <c r="R18" s="22">
        <v>5.0999999999999997E-2</v>
      </c>
      <c r="S18" s="22">
        <v>5.0999999999999997E-2</v>
      </c>
      <c r="T18" s="22">
        <v>5.0999999999999997E-2</v>
      </c>
      <c r="U18" s="22">
        <v>5.0999999999999997E-2</v>
      </c>
      <c r="V18" s="22">
        <v>5.0999999999999997E-2</v>
      </c>
      <c r="W18" s="22">
        <f t="shared" si="4"/>
        <v>5.0999999999999997E-2</v>
      </c>
      <c r="X18" s="22">
        <f t="shared" si="2"/>
        <v>5.0999999999999997E-2</v>
      </c>
      <c r="Y18" s="22">
        <f t="shared" si="2"/>
        <v>5.0999999999999997E-2</v>
      </c>
      <c r="Z18" s="22">
        <f t="shared" si="2"/>
        <v>5.0999999999999997E-2</v>
      </c>
      <c r="AA18" s="22">
        <f t="shared" si="2"/>
        <v>5.0999999999999997E-2</v>
      </c>
      <c r="AB18" s="22">
        <f t="shared" si="2"/>
        <v>5.0999999999999997E-2</v>
      </c>
      <c r="AC18" s="22">
        <f t="shared" si="2"/>
        <v>5.0999999999999997E-2</v>
      </c>
      <c r="AD18" s="22">
        <f t="shared" si="2"/>
        <v>5.0999999999999997E-2</v>
      </c>
      <c r="AE18" s="22">
        <f t="shared" si="2"/>
        <v>5.0999999999999997E-2</v>
      </c>
      <c r="AF18" s="22">
        <f t="shared" si="2"/>
        <v>5.0999999999999997E-2</v>
      </c>
      <c r="AG18" s="22">
        <f t="shared" si="2"/>
        <v>5.0999999999999997E-2</v>
      </c>
      <c r="AH18" s="22">
        <f t="shared" si="2"/>
        <v>5.0999999999999997E-2</v>
      </c>
      <c r="AI18" s="62">
        <v>5.5E-2</v>
      </c>
      <c r="AJ18" s="22">
        <f t="shared" si="2"/>
        <v>5.0999999999999997E-2</v>
      </c>
      <c r="AK18" s="22">
        <f t="shared" si="2"/>
        <v>5.0999999999999997E-2</v>
      </c>
      <c r="AL18" s="22">
        <f t="shared" si="2"/>
        <v>5.0999999999999997E-2</v>
      </c>
      <c r="AM18" s="22">
        <f t="shared" si="2"/>
        <v>5.0999999999999997E-2</v>
      </c>
      <c r="AN18" s="22">
        <f t="shared" si="3"/>
        <v>5.0999999999999997E-2</v>
      </c>
      <c r="AO18" s="22">
        <f t="shared" si="3"/>
        <v>5.0999999999999997E-2</v>
      </c>
      <c r="AP18" s="22">
        <f t="shared" si="3"/>
        <v>5.0999999999999997E-2</v>
      </c>
      <c r="AQ18" s="22">
        <f t="shared" si="3"/>
        <v>5.0999999999999997E-2</v>
      </c>
      <c r="AR18" s="22">
        <f t="shared" si="3"/>
        <v>5.0999999999999997E-2</v>
      </c>
      <c r="AS18" s="22">
        <f t="shared" si="3"/>
        <v>5.0999999999999997E-2</v>
      </c>
      <c r="AT18" s="22">
        <f t="shared" si="3"/>
        <v>5.0999999999999997E-2</v>
      </c>
      <c r="AU18" s="22">
        <f t="shared" si="3"/>
        <v>5.0999999999999997E-2</v>
      </c>
      <c r="AV18" s="22">
        <f t="shared" si="3"/>
        <v>5.0999999999999997E-2</v>
      </c>
      <c r="AW18" s="22">
        <f t="shared" si="3"/>
        <v>5.0999999999999997E-2</v>
      </c>
      <c r="AX18" s="22">
        <f t="shared" si="3"/>
        <v>5.0999999999999997E-2</v>
      </c>
    </row>
    <row r="19" spans="1:50" x14ac:dyDescent="0.35">
      <c r="B19" t="s">
        <v>93</v>
      </c>
      <c r="C19" s="41">
        <f ca="1">-$G$6</f>
        <v>-6010.2499943258208</v>
      </c>
      <c r="D19" s="8"/>
      <c r="E19" s="8"/>
      <c r="F19" s="8"/>
      <c r="G19" s="8"/>
      <c r="H19" s="8"/>
      <c r="P19" t="s">
        <v>45</v>
      </c>
      <c r="Q19" s="58">
        <f t="shared" ca="1" si="1"/>
        <v>0.44</v>
      </c>
      <c r="R19" s="21">
        <v>0.44</v>
      </c>
      <c r="S19" s="21">
        <v>0.45</v>
      </c>
      <c r="T19" s="21">
        <v>0.42</v>
      </c>
      <c r="U19" s="21">
        <v>0.46</v>
      </c>
      <c r="V19" s="21">
        <v>0.44</v>
      </c>
      <c r="W19" s="21">
        <f t="shared" si="4"/>
        <v>0.44</v>
      </c>
      <c r="X19" s="21">
        <f t="shared" si="2"/>
        <v>0.44</v>
      </c>
      <c r="Y19" s="21">
        <f t="shared" si="2"/>
        <v>0.44</v>
      </c>
      <c r="Z19" s="21">
        <f t="shared" si="2"/>
        <v>0.44</v>
      </c>
      <c r="AA19" s="21">
        <f t="shared" si="2"/>
        <v>0.44</v>
      </c>
      <c r="AB19" s="21">
        <f t="shared" si="2"/>
        <v>0.44</v>
      </c>
      <c r="AC19" s="21">
        <f t="shared" si="2"/>
        <v>0.44</v>
      </c>
      <c r="AD19" s="21">
        <f t="shared" si="2"/>
        <v>0.44</v>
      </c>
      <c r="AE19" s="21">
        <f t="shared" si="2"/>
        <v>0.44</v>
      </c>
      <c r="AF19" s="21">
        <f t="shared" si="2"/>
        <v>0.44</v>
      </c>
      <c r="AG19" s="21">
        <f t="shared" si="2"/>
        <v>0.44</v>
      </c>
      <c r="AH19" s="21">
        <f t="shared" si="2"/>
        <v>0.44</v>
      </c>
      <c r="AI19" s="21">
        <f t="shared" si="2"/>
        <v>0.44</v>
      </c>
      <c r="AJ19" s="61">
        <v>0.45</v>
      </c>
      <c r="AK19" s="21">
        <f t="shared" si="2"/>
        <v>0.44</v>
      </c>
      <c r="AL19" s="21">
        <f t="shared" si="2"/>
        <v>0.44</v>
      </c>
      <c r="AM19" s="21">
        <f t="shared" si="2"/>
        <v>0.44</v>
      </c>
      <c r="AN19" s="21">
        <f t="shared" si="3"/>
        <v>0.44</v>
      </c>
      <c r="AO19" s="21">
        <f t="shared" si="3"/>
        <v>0.44</v>
      </c>
      <c r="AP19" s="21">
        <f t="shared" si="3"/>
        <v>0.44</v>
      </c>
      <c r="AQ19" s="21">
        <f t="shared" si="3"/>
        <v>0.44</v>
      </c>
      <c r="AR19" s="21">
        <f t="shared" si="3"/>
        <v>0.44</v>
      </c>
      <c r="AS19" s="21">
        <f t="shared" si="3"/>
        <v>0.44</v>
      </c>
      <c r="AT19" s="21">
        <f t="shared" si="3"/>
        <v>0.44</v>
      </c>
      <c r="AU19" s="21">
        <f t="shared" si="3"/>
        <v>0.44</v>
      </c>
      <c r="AV19" s="21">
        <f t="shared" si="3"/>
        <v>0.44</v>
      </c>
      <c r="AW19" s="21">
        <f t="shared" si="3"/>
        <v>0.44</v>
      </c>
      <c r="AX19" s="21">
        <f t="shared" si="3"/>
        <v>0.44</v>
      </c>
    </row>
    <row r="20" spans="1:50" x14ac:dyDescent="0.35">
      <c r="B20" t="s">
        <v>94</v>
      </c>
      <c r="C20" s="42"/>
      <c r="D20" s="8"/>
      <c r="E20" s="8"/>
      <c r="F20" s="8"/>
      <c r="G20" s="8"/>
      <c r="H20" s="8"/>
      <c r="P20" t="s">
        <v>56</v>
      </c>
      <c r="Q20" s="58">
        <f t="shared" ca="1" si="1"/>
        <v>0.02</v>
      </c>
      <c r="R20" s="21">
        <v>0.02</v>
      </c>
      <c r="S20" s="21">
        <v>0.02</v>
      </c>
      <c r="T20" s="21">
        <v>0.02</v>
      </c>
      <c r="U20" s="21">
        <v>0.02</v>
      </c>
      <c r="V20" s="21">
        <v>0.02</v>
      </c>
      <c r="W20" s="21">
        <f t="shared" si="4"/>
        <v>0.02</v>
      </c>
      <c r="X20" s="21">
        <f t="shared" si="2"/>
        <v>0.02</v>
      </c>
      <c r="Y20" s="21">
        <f t="shared" si="2"/>
        <v>0.02</v>
      </c>
      <c r="Z20" s="21">
        <f t="shared" si="2"/>
        <v>0.02</v>
      </c>
      <c r="AA20" s="21">
        <f t="shared" si="2"/>
        <v>0.02</v>
      </c>
      <c r="AB20" s="21">
        <f t="shared" si="2"/>
        <v>0.02</v>
      </c>
      <c r="AC20" s="21">
        <f t="shared" si="2"/>
        <v>0.02</v>
      </c>
      <c r="AD20" s="21">
        <f t="shared" si="2"/>
        <v>0.02</v>
      </c>
      <c r="AE20" s="21">
        <f t="shared" si="2"/>
        <v>0.02</v>
      </c>
      <c r="AF20" s="21">
        <f t="shared" si="2"/>
        <v>0.02</v>
      </c>
      <c r="AG20" s="21">
        <f t="shared" si="2"/>
        <v>0.02</v>
      </c>
      <c r="AH20" s="21">
        <f t="shared" si="2"/>
        <v>0.02</v>
      </c>
      <c r="AI20" s="21">
        <f t="shared" si="2"/>
        <v>0.02</v>
      </c>
      <c r="AJ20" s="21">
        <f t="shared" si="2"/>
        <v>0.02</v>
      </c>
      <c r="AK20" s="61">
        <v>0.03</v>
      </c>
      <c r="AL20" s="21">
        <f t="shared" si="2"/>
        <v>0.02</v>
      </c>
      <c r="AM20" s="21">
        <f t="shared" si="2"/>
        <v>0.02</v>
      </c>
      <c r="AN20" s="21">
        <f t="shared" si="3"/>
        <v>0.02</v>
      </c>
      <c r="AO20" s="21">
        <f t="shared" si="3"/>
        <v>0.02</v>
      </c>
      <c r="AP20" s="21">
        <f t="shared" si="3"/>
        <v>0.02</v>
      </c>
      <c r="AQ20" s="21">
        <f t="shared" si="3"/>
        <v>0.02</v>
      </c>
      <c r="AR20" s="21">
        <f t="shared" si="3"/>
        <v>0.02</v>
      </c>
      <c r="AS20" s="21">
        <f t="shared" si="3"/>
        <v>0.02</v>
      </c>
      <c r="AT20" s="21">
        <f t="shared" si="3"/>
        <v>0.02</v>
      </c>
      <c r="AU20" s="21">
        <f t="shared" si="3"/>
        <v>0.02</v>
      </c>
      <c r="AV20" s="21">
        <f t="shared" si="3"/>
        <v>0.02</v>
      </c>
      <c r="AW20" s="21">
        <f t="shared" si="3"/>
        <v>0.02</v>
      </c>
      <c r="AX20" s="21">
        <f t="shared" si="3"/>
        <v>0.02</v>
      </c>
    </row>
    <row r="21" spans="1:50" x14ac:dyDescent="0.35">
      <c r="B21" t="s">
        <v>95</v>
      </c>
      <c r="C21" s="42"/>
      <c r="D21" s="8"/>
      <c r="E21" s="8"/>
      <c r="F21" s="8"/>
      <c r="G21" s="8"/>
      <c r="H21" s="43">
        <f ca="1">$N$9</f>
        <v>8752.6109433324746</v>
      </c>
      <c r="P21" t="s">
        <v>60</v>
      </c>
      <c r="Q21" s="58">
        <f t="shared" ca="1" si="1"/>
        <v>0.23</v>
      </c>
      <c r="R21" s="21">
        <v>0.23</v>
      </c>
      <c r="S21" s="21">
        <v>0.23</v>
      </c>
      <c r="T21" s="21">
        <v>0.23</v>
      </c>
      <c r="U21" s="21">
        <v>0.23</v>
      </c>
      <c r="V21" s="21">
        <v>0.23</v>
      </c>
      <c r="W21" s="21">
        <f t="shared" si="4"/>
        <v>0.23</v>
      </c>
      <c r="X21" s="21">
        <f t="shared" si="2"/>
        <v>0.23</v>
      </c>
      <c r="Y21" s="21">
        <f t="shared" si="2"/>
        <v>0.23</v>
      </c>
      <c r="Z21" s="21">
        <f t="shared" si="2"/>
        <v>0.23</v>
      </c>
      <c r="AA21" s="21">
        <f t="shared" si="2"/>
        <v>0.23</v>
      </c>
      <c r="AB21" s="21">
        <f t="shared" si="2"/>
        <v>0.23</v>
      </c>
      <c r="AC21" s="21">
        <f t="shared" si="2"/>
        <v>0.23</v>
      </c>
      <c r="AD21" s="21">
        <f t="shared" si="2"/>
        <v>0.23</v>
      </c>
      <c r="AE21" s="21">
        <f t="shared" si="2"/>
        <v>0.23</v>
      </c>
      <c r="AF21" s="21">
        <f t="shared" si="2"/>
        <v>0.23</v>
      </c>
      <c r="AG21" s="21">
        <f t="shared" si="2"/>
        <v>0.23</v>
      </c>
      <c r="AH21" s="21">
        <f t="shared" si="2"/>
        <v>0.23</v>
      </c>
      <c r="AI21" s="21">
        <f t="shared" si="2"/>
        <v>0.23</v>
      </c>
      <c r="AJ21" s="21">
        <f t="shared" si="2"/>
        <v>0.23</v>
      </c>
      <c r="AK21" s="21">
        <f t="shared" si="2"/>
        <v>0.23</v>
      </c>
      <c r="AL21" s="61">
        <v>0.24</v>
      </c>
      <c r="AM21" s="21">
        <f t="shared" si="2"/>
        <v>0.23</v>
      </c>
      <c r="AN21" s="21">
        <f t="shared" si="3"/>
        <v>0.23</v>
      </c>
      <c r="AO21" s="21">
        <f t="shared" si="3"/>
        <v>0.23</v>
      </c>
      <c r="AP21" s="21">
        <f t="shared" si="3"/>
        <v>0.23</v>
      </c>
      <c r="AQ21" s="21">
        <f t="shared" si="3"/>
        <v>0.23</v>
      </c>
      <c r="AR21" s="21">
        <f t="shared" si="3"/>
        <v>0.23</v>
      </c>
      <c r="AS21" s="21">
        <f t="shared" si="3"/>
        <v>0.23</v>
      </c>
      <c r="AT21" s="21">
        <f t="shared" si="3"/>
        <v>0.23</v>
      </c>
      <c r="AU21" s="21">
        <f t="shared" si="3"/>
        <v>0.23</v>
      </c>
      <c r="AV21" s="21">
        <f t="shared" si="3"/>
        <v>0.23</v>
      </c>
      <c r="AW21" s="21">
        <f t="shared" si="3"/>
        <v>0.23</v>
      </c>
      <c r="AX21" s="21">
        <f t="shared" si="3"/>
        <v>0.23</v>
      </c>
    </row>
    <row r="22" spans="1:50" x14ac:dyDescent="0.35">
      <c r="B22" s="2" t="s">
        <v>26</v>
      </c>
      <c r="C22" s="44">
        <f ca="1">SUM(C19:C21)</f>
        <v>-6010.2499943258208</v>
      </c>
      <c r="D22" s="45">
        <f t="shared" ref="D22:H22" si="7">SUM(D19:D21)</f>
        <v>0</v>
      </c>
      <c r="E22" s="45">
        <f t="shared" si="7"/>
        <v>0</v>
      </c>
      <c r="F22" s="45">
        <f t="shared" si="7"/>
        <v>0</v>
      </c>
      <c r="G22" s="45">
        <f t="shared" si="7"/>
        <v>0</v>
      </c>
      <c r="H22" s="45">
        <f t="shared" ca="1" si="7"/>
        <v>8752.6109433324746</v>
      </c>
      <c r="P22" t="s">
        <v>57</v>
      </c>
      <c r="Q22" s="38">
        <f t="shared" ca="1" si="1"/>
        <v>2.4668587896253601E-2</v>
      </c>
      <c r="R22" s="19">
        <f>214/$C$42</f>
        <v>2.4668587896253601E-2</v>
      </c>
      <c r="S22" s="19">
        <f>214/$C$42</f>
        <v>2.4668587896253601E-2</v>
      </c>
      <c r="T22" s="19">
        <f>214/$C$42</f>
        <v>2.4668587896253601E-2</v>
      </c>
      <c r="U22" s="19">
        <f>214/$C$42</f>
        <v>2.4668587896253601E-2</v>
      </c>
      <c r="V22" s="19">
        <f>214/$C$42</f>
        <v>2.4668587896253601E-2</v>
      </c>
      <c r="W22" s="19">
        <f t="shared" si="4"/>
        <v>2.4668587896253601E-2</v>
      </c>
      <c r="X22" s="19">
        <f t="shared" ref="X22:AN33" si="8">$R22</f>
        <v>2.4668587896253601E-2</v>
      </c>
      <c r="Y22" s="19">
        <f t="shared" si="8"/>
        <v>2.4668587896253601E-2</v>
      </c>
      <c r="Z22" s="19">
        <f t="shared" si="8"/>
        <v>2.4668587896253601E-2</v>
      </c>
      <c r="AA22" s="19">
        <f t="shared" si="8"/>
        <v>2.4668587896253601E-2</v>
      </c>
      <c r="AB22" s="19">
        <f t="shared" si="8"/>
        <v>2.4668587896253601E-2</v>
      </c>
      <c r="AC22" s="19">
        <f t="shared" si="8"/>
        <v>2.4668587896253601E-2</v>
      </c>
      <c r="AD22" s="19">
        <f t="shared" si="8"/>
        <v>2.4668587896253601E-2</v>
      </c>
      <c r="AE22" s="19">
        <f t="shared" si="8"/>
        <v>2.4668587896253601E-2</v>
      </c>
      <c r="AF22" s="19">
        <f t="shared" si="8"/>
        <v>2.4668587896253601E-2</v>
      </c>
      <c r="AG22" s="19">
        <f t="shared" si="8"/>
        <v>2.4668587896253601E-2</v>
      </c>
      <c r="AH22" s="19">
        <f t="shared" si="8"/>
        <v>2.4668587896253601E-2</v>
      </c>
      <c r="AI22" s="19">
        <f t="shared" si="8"/>
        <v>2.4668587896253601E-2</v>
      </c>
      <c r="AJ22" s="19">
        <f t="shared" si="8"/>
        <v>2.4668587896253601E-2</v>
      </c>
      <c r="AK22" s="19">
        <f t="shared" si="8"/>
        <v>2.4668587896253601E-2</v>
      </c>
      <c r="AL22" s="19">
        <f t="shared" si="8"/>
        <v>2.4668587896253601E-2</v>
      </c>
      <c r="AM22" s="63">
        <v>3.5000000000000003E-2</v>
      </c>
      <c r="AN22" s="64">
        <f t="shared" si="8"/>
        <v>2.4668587896253601E-2</v>
      </c>
      <c r="AO22" s="64">
        <f t="shared" ref="AN22:AX33" si="9">$R22</f>
        <v>2.4668587896253601E-2</v>
      </c>
      <c r="AP22" s="64">
        <f t="shared" si="9"/>
        <v>2.4668587896253601E-2</v>
      </c>
      <c r="AQ22" s="64">
        <f t="shared" si="9"/>
        <v>2.4668587896253601E-2</v>
      </c>
      <c r="AR22" s="64">
        <f t="shared" si="9"/>
        <v>2.4668587896253601E-2</v>
      </c>
      <c r="AS22" s="64">
        <f t="shared" si="9"/>
        <v>2.4668587896253601E-2</v>
      </c>
      <c r="AT22" s="64">
        <f t="shared" si="9"/>
        <v>2.4668587896253601E-2</v>
      </c>
      <c r="AU22" s="64">
        <f t="shared" si="9"/>
        <v>2.4668587896253601E-2</v>
      </c>
      <c r="AV22" s="64">
        <f t="shared" si="9"/>
        <v>2.4668587896253601E-2</v>
      </c>
      <c r="AW22" s="64">
        <f t="shared" si="9"/>
        <v>2.4668587896253601E-2</v>
      </c>
      <c r="AX22" s="64">
        <f t="shared" si="9"/>
        <v>2.4668587896253601E-2</v>
      </c>
    </row>
    <row r="23" spans="1:50" x14ac:dyDescent="0.35">
      <c r="P23" t="s">
        <v>58</v>
      </c>
      <c r="Q23" s="38">
        <f t="shared" ca="1" si="1"/>
        <v>4.0806916426512969E-2</v>
      </c>
      <c r="R23" s="19">
        <f>354/$C$42</f>
        <v>4.0806916426512969E-2</v>
      </c>
      <c r="S23" s="19">
        <f>354/$C$42</f>
        <v>4.0806916426512969E-2</v>
      </c>
      <c r="T23" s="19">
        <f>354/$C$42</f>
        <v>4.0806916426512969E-2</v>
      </c>
      <c r="U23" s="19">
        <f>354/$C$42</f>
        <v>4.0806916426512969E-2</v>
      </c>
      <c r="V23" s="19">
        <f>354/$C$42</f>
        <v>4.0806916426512969E-2</v>
      </c>
      <c r="W23" s="19">
        <f t="shared" si="4"/>
        <v>4.0806916426512969E-2</v>
      </c>
      <c r="X23" s="19">
        <f t="shared" si="8"/>
        <v>4.0806916426512969E-2</v>
      </c>
      <c r="Y23" s="19">
        <f t="shared" si="8"/>
        <v>4.0806916426512969E-2</v>
      </c>
      <c r="Z23" s="19">
        <f t="shared" si="8"/>
        <v>4.0806916426512969E-2</v>
      </c>
      <c r="AA23" s="19">
        <f t="shared" si="8"/>
        <v>4.0806916426512969E-2</v>
      </c>
      <c r="AB23" s="19">
        <f t="shared" si="8"/>
        <v>4.0806916426512969E-2</v>
      </c>
      <c r="AC23" s="19">
        <f t="shared" si="8"/>
        <v>4.0806916426512969E-2</v>
      </c>
      <c r="AD23" s="19">
        <f t="shared" si="8"/>
        <v>4.0806916426512969E-2</v>
      </c>
      <c r="AE23" s="19">
        <f t="shared" si="8"/>
        <v>4.0806916426512969E-2</v>
      </c>
      <c r="AF23" s="19">
        <f t="shared" si="8"/>
        <v>4.0806916426512969E-2</v>
      </c>
      <c r="AG23" s="19">
        <f t="shared" si="8"/>
        <v>4.0806916426512969E-2</v>
      </c>
      <c r="AH23" s="19">
        <f t="shared" si="8"/>
        <v>4.0806916426512969E-2</v>
      </c>
      <c r="AI23" s="19">
        <f t="shared" si="8"/>
        <v>4.0806916426512969E-2</v>
      </c>
      <c r="AJ23" s="19">
        <f t="shared" si="8"/>
        <v>4.0806916426512969E-2</v>
      </c>
      <c r="AK23" s="19">
        <f t="shared" si="8"/>
        <v>4.0806916426512969E-2</v>
      </c>
      <c r="AL23" s="19">
        <f t="shared" si="8"/>
        <v>4.0806916426512969E-2</v>
      </c>
      <c r="AM23" s="19">
        <f t="shared" si="8"/>
        <v>4.0806916426512969E-2</v>
      </c>
      <c r="AN23" s="63">
        <v>0.05</v>
      </c>
      <c r="AO23" s="19">
        <f t="shared" si="9"/>
        <v>4.0806916426512969E-2</v>
      </c>
      <c r="AP23" s="19">
        <f t="shared" si="9"/>
        <v>4.0806916426512969E-2</v>
      </c>
      <c r="AQ23" s="19">
        <f t="shared" si="9"/>
        <v>4.0806916426512969E-2</v>
      </c>
      <c r="AR23" s="19">
        <f t="shared" si="9"/>
        <v>4.0806916426512969E-2</v>
      </c>
      <c r="AS23" s="19">
        <f t="shared" si="9"/>
        <v>4.0806916426512969E-2</v>
      </c>
      <c r="AT23" s="19">
        <f t="shared" si="9"/>
        <v>4.0806916426512969E-2</v>
      </c>
      <c r="AU23" s="19">
        <f t="shared" si="9"/>
        <v>4.0806916426512969E-2</v>
      </c>
      <c r="AV23" s="19">
        <f t="shared" si="9"/>
        <v>4.0806916426512969E-2</v>
      </c>
      <c r="AW23" s="19">
        <f t="shared" si="9"/>
        <v>4.0806916426512969E-2</v>
      </c>
      <c r="AX23" s="19">
        <f t="shared" si="9"/>
        <v>4.0806916426512969E-2</v>
      </c>
    </row>
    <row r="24" spans="1:50" ht="16" x14ac:dyDescent="0.5">
      <c r="B24" s="46" t="s">
        <v>96</v>
      </c>
      <c r="C24" s="47">
        <f ca="1">IRR(C22:H22)</f>
        <v>7.8075105339641571E-2</v>
      </c>
      <c r="F24" s="6" t="s">
        <v>96</v>
      </c>
      <c r="G24" s="6" t="s">
        <v>97</v>
      </c>
      <c r="H24" s="6" t="s">
        <v>100</v>
      </c>
      <c r="P24" t="s">
        <v>59</v>
      </c>
      <c r="Q24" s="58">
        <f t="shared" ca="1" si="1"/>
        <v>0.10524495677233429</v>
      </c>
      <c r="R24" s="21">
        <f>C68/$C$42</f>
        <v>0.10524495677233429</v>
      </c>
      <c r="S24" s="21">
        <v>0.1</v>
      </c>
      <c r="T24" s="21">
        <v>0.1</v>
      </c>
      <c r="U24" s="21">
        <v>0.1</v>
      </c>
      <c r="V24" s="21">
        <v>0.1</v>
      </c>
      <c r="W24" s="21">
        <f t="shared" si="4"/>
        <v>0.10524495677233429</v>
      </c>
      <c r="X24" s="21">
        <f t="shared" si="8"/>
        <v>0.10524495677233429</v>
      </c>
      <c r="Y24" s="21">
        <f t="shared" si="8"/>
        <v>0.10524495677233429</v>
      </c>
      <c r="Z24" s="21">
        <f t="shared" si="8"/>
        <v>0.10524495677233429</v>
      </c>
      <c r="AA24" s="21">
        <f t="shared" si="8"/>
        <v>0.10524495677233429</v>
      </c>
      <c r="AB24" s="21">
        <f t="shared" si="8"/>
        <v>0.10524495677233429</v>
      </c>
      <c r="AC24" s="21">
        <f t="shared" si="8"/>
        <v>0.10524495677233429</v>
      </c>
      <c r="AD24" s="21">
        <f t="shared" si="8"/>
        <v>0.10524495677233429</v>
      </c>
      <c r="AE24" s="21">
        <f t="shared" si="8"/>
        <v>0.10524495677233429</v>
      </c>
      <c r="AF24" s="21">
        <f t="shared" si="8"/>
        <v>0.10524495677233429</v>
      </c>
      <c r="AG24" s="21">
        <f t="shared" si="8"/>
        <v>0.10524495677233429</v>
      </c>
      <c r="AH24" s="21">
        <f t="shared" si="8"/>
        <v>0.10524495677233429</v>
      </c>
      <c r="AI24" s="21">
        <f t="shared" si="8"/>
        <v>0.10524495677233429</v>
      </c>
      <c r="AJ24" s="21">
        <f t="shared" si="8"/>
        <v>0.10524495677233429</v>
      </c>
      <c r="AK24" s="21">
        <f t="shared" si="8"/>
        <v>0.10524495677233429</v>
      </c>
      <c r="AL24" s="21">
        <f t="shared" si="8"/>
        <v>0.10524495677233429</v>
      </c>
      <c r="AM24" s="21">
        <f t="shared" si="8"/>
        <v>0.10524495677233429</v>
      </c>
      <c r="AN24" s="21">
        <f t="shared" si="9"/>
        <v>0.10524495677233429</v>
      </c>
      <c r="AO24" s="61">
        <v>0.12</v>
      </c>
      <c r="AP24" s="21">
        <f t="shared" si="9"/>
        <v>0.10524495677233429</v>
      </c>
      <c r="AQ24" s="21">
        <f t="shared" si="9"/>
        <v>0.10524495677233429</v>
      </c>
      <c r="AR24" s="21">
        <f t="shared" si="9"/>
        <v>0.10524495677233429</v>
      </c>
      <c r="AS24" s="21">
        <f t="shared" si="9"/>
        <v>0.10524495677233429</v>
      </c>
      <c r="AT24" s="21">
        <f t="shared" si="9"/>
        <v>0.10524495677233429</v>
      </c>
      <c r="AU24" s="21">
        <f t="shared" si="9"/>
        <v>0.10524495677233429</v>
      </c>
      <c r="AV24" s="21">
        <f t="shared" si="9"/>
        <v>0.10524495677233429</v>
      </c>
      <c r="AW24" s="21">
        <f t="shared" si="9"/>
        <v>0.10524495677233429</v>
      </c>
      <c r="AX24" s="21">
        <f t="shared" si="9"/>
        <v>0.10524495677233429</v>
      </c>
    </row>
    <row r="25" spans="1:50" x14ac:dyDescent="0.35">
      <c r="B25" s="48" t="s">
        <v>97</v>
      </c>
      <c r="C25" s="49">
        <f ca="1">SUM(D22:H22)/-C22</f>
        <v>1.4562806791058063</v>
      </c>
      <c r="F25" s="38" cm="1">
        <f t="array" aca="1" ref="F25:H25" ca="1">TRANSPOSE(Q34:Q36)</f>
        <v>7.8075105339641571E-2</v>
      </c>
      <c r="G25" s="75">
        <f ca="1"/>
        <v>1.4562806791058063</v>
      </c>
      <c r="H25" s="75">
        <f ca="1"/>
        <v>2.3387033360071561</v>
      </c>
      <c r="P25" t="s">
        <v>3</v>
      </c>
      <c r="Q25" s="58">
        <f t="shared" ca="1" si="1"/>
        <v>0.35</v>
      </c>
      <c r="R25" s="21">
        <v>0.35</v>
      </c>
      <c r="S25" s="21">
        <v>0.35</v>
      </c>
      <c r="T25" s="21">
        <v>0.35</v>
      </c>
      <c r="U25" s="21">
        <v>0.25</v>
      </c>
      <c r="V25" s="21">
        <v>0.25</v>
      </c>
      <c r="W25" s="21">
        <f t="shared" si="4"/>
        <v>0.35</v>
      </c>
      <c r="X25" s="21">
        <f t="shared" si="8"/>
        <v>0.35</v>
      </c>
      <c r="Y25" s="21">
        <f t="shared" si="8"/>
        <v>0.35</v>
      </c>
      <c r="Z25" s="21">
        <f t="shared" si="8"/>
        <v>0.35</v>
      </c>
      <c r="AA25" s="21">
        <f t="shared" si="8"/>
        <v>0.35</v>
      </c>
      <c r="AB25" s="21">
        <f t="shared" si="8"/>
        <v>0.35</v>
      </c>
      <c r="AC25" s="21">
        <f t="shared" si="8"/>
        <v>0.35</v>
      </c>
      <c r="AD25" s="21">
        <f t="shared" si="8"/>
        <v>0.35</v>
      </c>
      <c r="AE25" s="21">
        <f t="shared" si="8"/>
        <v>0.35</v>
      </c>
      <c r="AF25" s="21">
        <f t="shared" si="8"/>
        <v>0.35</v>
      </c>
      <c r="AG25" s="21">
        <f t="shared" si="8"/>
        <v>0.35</v>
      </c>
      <c r="AH25" s="21">
        <f t="shared" si="8"/>
        <v>0.35</v>
      </c>
      <c r="AI25" s="21">
        <f t="shared" si="8"/>
        <v>0.35</v>
      </c>
      <c r="AJ25" s="21">
        <f t="shared" si="8"/>
        <v>0.35</v>
      </c>
      <c r="AK25" s="21">
        <f t="shared" si="8"/>
        <v>0.35</v>
      </c>
      <c r="AL25" s="21">
        <f t="shared" si="8"/>
        <v>0.35</v>
      </c>
      <c r="AM25" s="21">
        <f t="shared" si="8"/>
        <v>0.35</v>
      </c>
      <c r="AN25" s="21">
        <f t="shared" si="9"/>
        <v>0.35</v>
      </c>
      <c r="AO25" s="21">
        <f t="shared" si="9"/>
        <v>0.35</v>
      </c>
      <c r="AP25" s="61">
        <v>0.45</v>
      </c>
      <c r="AQ25" s="21">
        <f t="shared" si="9"/>
        <v>0.35</v>
      </c>
      <c r="AR25" s="21">
        <f t="shared" si="9"/>
        <v>0.35</v>
      </c>
      <c r="AS25" s="21">
        <f t="shared" si="9"/>
        <v>0.35</v>
      </c>
      <c r="AT25" s="21">
        <f t="shared" si="9"/>
        <v>0.35</v>
      </c>
      <c r="AU25" s="21">
        <f t="shared" si="9"/>
        <v>0.35</v>
      </c>
      <c r="AV25" s="21">
        <f t="shared" si="9"/>
        <v>0.35</v>
      </c>
      <c r="AW25" s="21">
        <f t="shared" si="9"/>
        <v>0.35</v>
      </c>
      <c r="AX25" s="21">
        <f t="shared" si="9"/>
        <v>0.35</v>
      </c>
    </row>
    <row r="26" spans="1:50" x14ac:dyDescent="0.35">
      <c r="P26" t="s">
        <v>79</v>
      </c>
      <c r="Q26" s="60">
        <f t="shared" ca="1" si="1"/>
        <v>3</v>
      </c>
      <c r="R26" s="33">
        <v>3</v>
      </c>
      <c r="S26" s="33">
        <v>3</v>
      </c>
      <c r="T26" s="33">
        <v>3</v>
      </c>
      <c r="U26" s="33">
        <v>3</v>
      </c>
      <c r="V26" s="33">
        <v>3</v>
      </c>
      <c r="W26" s="33">
        <f t="shared" si="4"/>
        <v>3</v>
      </c>
      <c r="X26" s="33">
        <f t="shared" si="8"/>
        <v>3</v>
      </c>
      <c r="Y26" s="33">
        <f t="shared" si="8"/>
        <v>3</v>
      </c>
      <c r="Z26" s="33">
        <f t="shared" si="8"/>
        <v>3</v>
      </c>
      <c r="AA26" s="33">
        <f t="shared" si="8"/>
        <v>3</v>
      </c>
      <c r="AB26" s="33">
        <f t="shared" si="8"/>
        <v>3</v>
      </c>
      <c r="AC26" s="33">
        <f t="shared" si="8"/>
        <v>3</v>
      </c>
      <c r="AD26" s="33">
        <f t="shared" si="8"/>
        <v>3</v>
      </c>
      <c r="AE26" s="33">
        <f t="shared" si="8"/>
        <v>3</v>
      </c>
      <c r="AF26" s="33">
        <f t="shared" si="8"/>
        <v>3</v>
      </c>
      <c r="AG26" s="33">
        <f t="shared" si="8"/>
        <v>3</v>
      </c>
      <c r="AH26" s="33">
        <f t="shared" si="8"/>
        <v>3</v>
      </c>
      <c r="AI26" s="33">
        <f t="shared" si="8"/>
        <v>3</v>
      </c>
      <c r="AJ26" s="33">
        <f t="shared" si="8"/>
        <v>3</v>
      </c>
      <c r="AK26" s="33">
        <f t="shared" si="8"/>
        <v>3</v>
      </c>
      <c r="AL26" s="33">
        <f t="shared" si="8"/>
        <v>3</v>
      </c>
      <c r="AM26" s="33">
        <f t="shared" si="8"/>
        <v>3</v>
      </c>
      <c r="AN26" s="33">
        <f t="shared" si="9"/>
        <v>3</v>
      </c>
      <c r="AO26" s="33">
        <f t="shared" si="9"/>
        <v>3</v>
      </c>
      <c r="AP26" s="33">
        <f t="shared" si="9"/>
        <v>3</v>
      </c>
      <c r="AQ26" s="65">
        <v>3.5</v>
      </c>
      <c r="AR26" s="33">
        <f t="shared" si="9"/>
        <v>3</v>
      </c>
      <c r="AS26" s="33">
        <f t="shared" si="9"/>
        <v>3</v>
      </c>
      <c r="AT26" s="33">
        <f t="shared" si="9"/>
        <v>3</v>
      </c>
      <c r="AU26" s="33">
        <f t="shared" si="9"/>
        <v>3</v>
      </c>
      <c r="AV26" s="33">
        <f t="shared" si="9"/>
        <v>3</v>
      </c>
      <c r="AW26" s="33">
        <f t="shared" si="9"/>
        <v>3</v>
      </c>
      <c r="AX26" s="33">
        <f t="shared" si="9"/>
        <v>3</v>
      </c>
    </row>
    <row r="27" spans="1:50" ht="16" x14ac:dyDescent="0.5">
      <c r="A27" t="s">
        <v>0</v>
      </c>
      <c r="B27" s="4" t="s">
        <v>9</v>
      </c>
      <c r="C27" s="3"/>
      <c r="D27" s="3"/>
      <c r="E27" s="3"/>
      <c r="F27" s="3"/>
      <c r="G27" s="3"/>
      <c r="H27" s="3"/>
      <c r="I27" s="3"/>
      <c r="K27" s="5"/>
      <c r="L27" s="5"/>
      <c r="M27" s="5"/>
      <c r="N27" s="5"/>
      <c r="P27" t="s">
        <v>81</v>
      </c>
      <c r="Q27" s="35">
        <f t="shared" ca="1" si="1"/>
        <v>400</v>
      </c>
      <c r="R27">
        <v>400</v>
      </c>
      <c r="S27">
        <v>400</v>
      </c>
      <c r="T27">
        <v>400</v>
      </c>
      <c r="U27">
        <v>400</v>
      </c>
      <c r="V27">
        <v>400</v>
      </c>
      <c r="W27">
        <f t="shared" si="4"/>
        <v>400</v>
      </c>
      <c r="X27">
        <f t="shared" si="8"/>
        <v>400</v>
      </c>
      <c r="Y27">
        <f t="shared" si="8"/>
        <v>400</v>
      </c>
      <c r="Z27">
        <f t="shared" si="8"/>
        <v>400</v>
      </c>
      <c r="AA27">
        <f t="shared" si="8"/>
        <v>400</v>
      </c>
      <c r="AB27">
        <f t="shared" si="8"/>
        <v>400</v>
      </c>
      <c r="AC27">
        <f t="shared" si="8"/>
        <v>400</v>
      </c>
      <c r="AD27">
        <f t="shared" si="8"/>
        <v>400</v>
      </c>
      <c r="AE27">
        <f t="shared" si="8"/>
        <v>400</v>
      </c>
      <c r="AF27">
        <f t="shared" si="8"/>
        <v>400</v>
      </c>
      <c r="AG27">
        <f t="shared" si="8"/>
        <v>400</v>
      </c>
      <c r="AH27">
        <f t="shared" si="8"/>
        <v>400</v>
      </c>
      <c r="AI27">
        <f t="shared" si="8"/>
        <v>400</v>
      </c>
      <c r="AJ27">
        <f t="shared" si="8"/>
        <v>400</v>
      </c>
      <c r="AK27">
        <f t="shared" si="8"/>
        <v>400</v>
      </c>
      <c r="AL27">
        <f t="shared" si="8"/>
        <v>400</v>
      </c>
      <c r="AM27">
        <f t="shared" si="8"/>
        <v>400</v>
      </c>
      <c r="AN27">
        <f t="shared" si="9"/>
        <v>400</v>
      </c>
      <c r="AO27">
        <f t="shared" si="9"/>
        <v>400</v>
      </c>
      <c r="AP27">
        <f t="shared" si="9"/>
        <v>400</v>
      </c>
      <c r="AQ27">
        <f t="shared" si="9"/>
        <v>400</v>
      </c>
      <c r="AR27" s="66">
        <v>500</v>
      </c>
      <c r="AS27">
        <f t="shared" si="9"/>
        <v>400</v>
      </c>
      <c r="AT27">
        <f t="shared" si="9"/>
        <v>400</v>
      </c>
      <c r="AU27">
        <f t="shared" si="9"/>
        <v>400</v>
      </c>
      <c r="AV27">
        <f t="shared" si="9"/>
        <v>400</v>
      </c>
      <c r="AW27">
        <f t="shared" si="9"/>
        <v>400</v>
      </c>
      <c r="AX27">
        <f t="shared" si="9"/>
        <v>400</v>
      </c>
    </row>
    <row r="28" spans="1:50" x14ac:dyDescent="0.35">
      <c r="P28" t="s">
        <v>82</v>
      </c>
      <c r="Q28" s="58">
        <f t="shared" ca="1" si="1"/>
        <v>0.02</v>
      </c>
      <c r="R28" s="21">
        <v>0.02</v>
      </c>
      <c r="S28" s="21">
        <v>0.02</v>
      </c>
      <c r="T28" s="21">
        <v>0.02</v>
      </c>
      <c r="U28" s="21">
        <v>0.02</v>
      </c>
      <c r="V28" s="21">
        <v>0.02</v>
      </c>
      <c r="W28" s="21">
        <f t="shared" si="4"/>
        <v>0.02</v>
      </c>
      <c r="X28" s="21">
        <f t="shared" si="8"/>
        <v>0.02</v>
      </c>
      <c r="Y28" s="21">
        <f t="shared" si="8"/>
        <v>0.02</v>
      </c>
      <c r="Z28" s="21">
        <f t="shared" si="8"/>
        <v>0.02</v>
      </c>
      <c r="AA28" s="21">
        <f t="shared" si="8"/>
        <v>0.02</v>
      </c>
      <c r="AB28" s="21">
        <f t="shared" si="8"/>
        <v>0.02</v>
      </c>
      <c r="AC28" s="21">
        <f t="shared" si="8"/>
        <v>0.02</v>
      </c>
      <c r="AD28" s="21">
        <f t="shared" si="8"/>
        <v>0.02</v>
      </c>
      <c r="AE28" s="21">
        <f t="shared" si="8"/>
        <v>0.02</v>
      </c>
      <c r="AF28" s="21">
        <f t="shared" si="8"/>
        <v>0.02</v>
      </c>
      <c r="AG28" s="21">
        <f t="shared" si="8"/>
        <v>0.02</v>
      </c>
      <c r="AH28" s="21">
        <f t="shared" si="8"/>
        <v>0.02</v>
      </c>
      <c r="AI28" s="21">
        <f t="shared" si="8"/>
        <v>0.02</v>
      </c>
      <c r="AJ28" s="21">
        <f t="shared" si="8"/>
        <v>0.02</v>
      </c>
      <c r="AK28" s="21">
        <f t="shared" si="8"/>
        <v>0.02</v>
      </c>
      <c r="AL28" s="21">
        <f t="shared" si="8"/>
        <v>0.02</v>
      </c>
      <c r="AM28" s="21">
        <f t="shared" si="8"/>
        <v>0.02</v>
      </c>
      <c r="AN28" s="21">
        <f t="shared" si="9"/>
        <v>0.02</v>
      </c>
      <c r="AO28" s="21">
        <f t="shared" si="9"/>
        <v>0.02</v>
      </c>
      <c r="AP28" s="21">
        <f t="shared" si="9"/>
        <v>0.02</v>
      </c>
      <c r="AQ28" s="21">
        <f t="shared" si="9"/>
        <v>0.02</v>
      </c>
      <c r="AR28" s="21">
        <f t="shared" si="9"/>
        <v>0.02</v>
      </c>
      <c r="AS28" s="61">
        <v>0.03</v>
      </c>
      <c r="AT28" s="21">
        <f t="shared" si="9"/>
        <v>0.02</v>
      </c>
      <c r="AU28" s="21">
        <f t="shared" si="9"/>
        <v>0.02</v>
      </c>
      <c r="AV28" s="21">
        <f t="shared" si="9"/>
        <v>0.02</v>
      </c>
      <c r="AW28" s="21">
        <f t="shared" si="9"/>
        <v>0.02</v>
      </c>
      <c r="AX28" s="21">
        <f t="shared" si="9"/>
        <v>0.02</v>
      </c>
    </row>
    <row r="29" spans="1:50" ht="16" x14ac:dyDescent="0.5">
      <c r="B29" s="6" t="s">
        <v>10</v>
      </c>
      <c r="C29" s="7">
        <v>44957</v>
      </c>
      <c r="D29" s="7">
        <f>C29+365</f>
        <v>45322</v>
      </c>
      <c r="E29" s="7">
        <f t="shared" ref="E29:H29" si="10">D29+365</f>
        <v>45687</v>
      </c>
      <c r="F29" s="7">
        <f t="shared" si="10"/>
        <v>46052</v>
      </c>
      <c r="G29" s="7">
        <f t="shared" si="10"/>
        <v>46417</v>
      </c>
      <c r="H29" s="7">
        <f t="shared" si="10"/>
        <v>46782</v>
      </c>
      <c r="I29" s="23" t="s">
        <v>44</v>
      </c>
      <c r="J29" s="23"/>
      <c r="K29" s="7"/>
      <c r="L29" s="7"/>
      <c r="M29" s="7"/>
      <c r="N29" s="7"/>
      <c r="P29" t="s">
        <v>80</v>
      </c>
      <c r="Q29" s="60">
        <f t="shared" ca="1" si="1"/>
        <v>1.5</v>
      </c>
      <c r="R29" s="33">
        <v>1.5</v>
      </c>
      <c r="S29" s="33">
        <v>1.5</v>
      </c>
      <c r="T29" s="33">
        <v>1.5</v>
      </c>
      <c r="U29" s="33">
        <v>1.5</v>
      </c>
      <c r="V29" s="33">
        <v>1.5</v>
      </c>
      <c r="W29" s="33">
        <f t="shared" si="4"/>
        <v>1.5</v>
      </c>
      <c r="X29" s="33">
        <f t="shared" si="8"/>
        <v>1.5</v>
      </c>
      <c r="Y29" s="33">
        <f t="shared" si="8"/>
        <v>1.5</v>
      </c>
      <c r="Z29" s="33">
        <f t="shared" si="8"/>
        <v>1.5</v>
      </c>
      <c r="AA29" s="33">
        <f t="shared" si="8"/>
        <v>1.5</v>
      </c>
      <c r="AB29" s="33">
        <f t="shared" si="8"/>
        <v>1.5</v>
      </c>
      <c r="AC29" s="33">
        <f t="shared" si="8"/>
        <v>1.5</v>
      </c>
      <c r="AD29" s="33">
        <f t="shared" si="8"/>
        <v>1.5</v>
      </c>
      <c r="AE29" s="33">
        <f t="shared" si="8"/>
        <v>1.5</v>
      </c>
      <c r="AF29" s="33">
        <f t="shared" si="8"/>
        <v>1.5</v>
      </c>
      <c r="AG29" s="33">
        <f t="shared" si="8"/>
        <v>1.5</v>
      </c>
      <c r="AH29" s="33">
        <f t="shared" si="8"/>
        <v>1.5</v>
      </c>
      <c r="AI29" s="33">
        <f t="shared" si="8"/>
        <v>1.5</v>
      </c>
      <c r="AJ29" s="33">
        <f t="shared" si="8"/>
        <v>1.5</v>
      </c>
      <c r="AK29" s="33">
        <f t="shared" si="8"/>
        <v>1.5</v>
      </c>
      <c r="AL29" s="33">
        <f t="shared" si="8"/>
        <v>1.5</v>
      </c>
      <c r="AM29" s="33">
        <f t="shared" si="8"/>
        <v>1.5</v>
      </c>
      <c r="AN29" s="33">
        <f t="shared" si="9"/>
        <v>1.5</v>
      </c>
      <c r="AO29" s="33">
        <f t="shared" si="9"/>
        <v>1.5</v>
      </c>
      <c r="AP29" s="33">
        <f t="shared" si="9"/>
        <v>1.5</v>
      </c>
      <c r="AQ29" s="33">
        <f t="shared" si="9"/>
        <v>1.5</v>
      </c>
      <c r="AR29" s="33">
        <f t="shared" si="9"/>
        <v>1.5</v>
      </c>
      <c r="AS29" s="33">
        <f t="shared" si="9"/>
        <v>1.5</v>
      </c>
      <c r="AT29" s="65">
        <v>2</v>
      </c>
      <c r="AU29" s="33">
        <f t="shared" si="9"/>
        <v>1.5</v>
      </c>
      <c r="AV29" s="33">
        <f t="shared" si="9"/>
        <v>1.5</v>
      </c>
      <c r="AW29" s="33">
        <f t="shared" si="9"/>
        <v>1.5</v>
      </c>
      <c r="AX29" s="33">
        <f t="shared" si="9"/>
        <v>1.5</v>
      </c>
    </row>
    <row r="30" spans="1:50" x14ac:dyDescent="0.35">
      <c r="P30" t="s">
        <v>81</v>
      </c>
      <c r="Q30" s="35">
        <f t="shared" ca="1" si="1"/>
        <v>600</v>
      </c>
      <c r="R30">
        <v>600</v>
      </c>
      <c r="S30">
        <v>600</v>
      </c>
      <c r="T30">
        <v>600</v>
      </c>
      <c r="U30">
        <v>600</v>
      </c>
      <c r="V30">
        <v>600</v>
      </c>
      <c r="W30">
        <f t="shared" si="4"/>
        <v>600</v>
      </c>
      <c r="X30">
        <f t="shared" si="8"/>
        <v>600</v>
      </c>
      <c r="Y30">
        <f t="shared" si="8"/>
        <v>600</v>
      </c>
      <c r="Z30">
        <f t="shared" si="8"/>
        <v>600</v>
      </c>
      <c r="AA30">
        <f t="shared" si="8"/>
        <v>600</v>
      </c>
      <c r="AB30">
        <f t="shared" si="8"/>
        <v>600</v>
      </c>
      <c r="AC30">
        <f t="shared" si="8"/>
        <v>600</v>
      </c>
      <c r="AD30">
        <f t="shared" si="8"/>
        <v>600</v>
      </c>
      <c r="AE30">
        <f t="shared" si="8"/>
        <v>600</v>
      </c>
      <c r="AF30">
        <f t="shared" si="8"/>
        <v>600</v>
      </c>
      <c r="AG30">
        <f t="shared" si="8"/>
        <v>600</v>
      </c>
      <c r="AH30">
        <f t="shared" si="8"/>
        <v>600</v>
      </c>
      <c r="AI30">
        <f t="shared" si="8"/>
        <v>600</v>
      </c>
      <c r="AJ30">
        <f t="shared" si="8"/>
        <v>600</v>
      </c>
      <c r="AK30">
        <f t="shared" si="8"/>
        <v>600</v>
      </c>
      <c r="AL30">
        <f t="shared" si="8"/>
        <v>600</v>
      </c>
      <c r="AM30">
        <f t="shared" si="8"/>
        <v>600</v>
      </c>
      <c r="AN30">
        <f t="shared" si="9"/>
        <v>600</v>
      </c>
      <c r="AO30">
        <f t="shared" si="9"/>
        <v>600</v>
      </c>
      <c r="AP30">
        <f t="shared" si="9"/>
        <v>600</v>
      </c>
      <c r="AQ30">
        <f t="shared" si="9"/>
        <v>600</v>
      </c>
      <c r="AR30">
        <f t="shared" si="9"/>
        <v>600</v>
      </c>
      <c r="AS30">
        <f t="shared" si="9"/>
        <v>600</v>
      </c>
      <c r="AT30">
        <f t="shared" si="9"/>
        <v>600</v>
      </c>
      <c r="AU30" s="66">
        <v>700</v>
      </c>
      <c r="AV30">
        <f t="shared" si="9"/>
        <v>600</v>
      </c>
      <c r="AW30">
        <f t="shared" si="9"/>
        <v>600</v>
      </c>
      <c r="AX30">
        <f t="shared" si="9"/>
        <v>600</v>
      </c>
    </row>
    <row r="31" spans="1:50" x14ac:dyDescent="0.35">
      <c r="B31" s="13" t="s">
        <v>20</v>
      </c>
      <c r="C31" s="14"/>
      <c r="D31" s="14"/>
      <c r="E31" s="14"/>
      <c r="F31" s="14"/>
      <c r="G31" s="14"/>
      <c r="H31" s="14"/>
      <c r="P31" t="s">
        <v>82</v>
      </c>
      <c r="Q31" s="58">
        <f t="shared" ca="1" si="1"/>
        <v>0.02</v>
      </c>
      <c r="R31" s="21">
        <v>0.02</v>
      </c>
      <c r="S31" s="21">
        <v>0.02</v>
      </c>
      <c r="T31" s="21">
        <v>0.02</v>
      </c>
      <c r="U31" s="21">
        <v>0.02</v>
      </c>
      <c r="V31" s="21">
        <v>0.02</v>
      </c>
      <c r="W31" s="21">
        <f t="shared" si="4"/>
        <v>0.02</v>
      </c>
      <c r="X31" s="21">
        <f t="shared" si="8"/>
        <v>0.02</v>
      </c>
      <c r="Y31" s="21">
        <f t="shared" si="8"/>
        <v>0.02</v>
      </c>
      <c r="Z31" s="21">
        <f t="shared" si="8"/>
        <v>0.02</v>
      </c>
      <c r="AA31" s="21">
        <f t="shared" si="8"/>
        <v>0.02</v>
      </c>
      <c r="AB31" s="21">
        <f t="shared" si="8"/>
        <v>0.02</v>
      </c>
      <c r="AC31" s="21">
        <f t="shared" si="8"/>
        <v>0.02</v>
      </c>
      <c r="AD31" s="21">
        <f t="shared" si="8"/>
        <v>0.02</v>
      </c>
      <c r="AE31" s="21">
        <f t="shared" si="8"/>
        <v>0.02</v>
      </c>
      <c r="AF31" s="21">
        <f t="shared" si="8"/>
        <v>0.02</v>
      </c>
      <c r="AG31" s="21">
        <f t="shared" si="8"/>
        <v>0.02</v>
      </c>
      <c r="AH31" s="21">
        <f t="shared" si="8"/>
        <v>0.02</v>
      </c>
      <c r="AI31" s="21">
        <f t="shared" si="8"/>
        <v>0.02</v>
      </c>
      <c r="AJ31" s="21">
        <f t="shared" si="8"/>
        <v>0.02</v>
      </c>
      <c r="AK31" s="21">
        <f t="shared" si="8"/>
        <v>0.02</v>
      </c>
      <c r="AL31" s="21">
        <f t="shared" si="8"/>
        <v>0.02</v>
      </c>
      <c r="AM31" s="21">
        <f t="shared" si="8"/>
        <v>0.02</v>
      </c>
      <c r="AN31" s="21">
        <f t="shared" si="9"/>
        <v>0.02</v>
      </c>
      <c r="AO31" s="21">
        <f t="shared" si="9"/>
        <v>0.02</v>
      </c>
      <c r="AP31" s="21">
        <f t="shared" si="9"/>
        <v>0.02</v>
      </c>
      <c r="AQ31" s="21">
        <f t="shared" si="9"/>
        <v>0.02</v>
      </c>
      <c r="AR31" s="21">
        <f t="shared" si="9"/>
        <v>0.02</v>
      </c>
      <c r="AS31" s="21">
        <f t="shared" si="9"/>
        <v>0.02</v>
      </c>
      <c r="AT31" s="21">
        <f t="shared" si="9"/>
        <v>0.02</v>
      </c>
      <c r="AU31" s="21">
        <f t="shared" si="9"/>
        <v>0.02</v>
      </c>
      <c r="AV31" s="61">
        <v>0.03</v>
      </c>
      <c r="AW31" s="21">
        <f t="shared" si="9"/>
        <v>0.02</v>
      </c>
      <c r="AX31" s="21">
        <f t="shared" si="9"/>
        <v>0.02</v>
      </c>
    </row>
    <row r="32" spans="1:50" x14ac:dyDescent="0.35">
      <c r="B32" t="s">
        <v>21</v>
      </c>
      <c r="C32" s="57">
        <v>3556</v>
      </c>
      <c r="D32" s="17">
        <f ca="1">C32*(1+D33)</f>
        <v>3200.4</v>
      </c>
      <c r="E32" s="17">
        <f t="shared" ref="E32:H32" ca="1" si="11">D32*(1+E33)</f>
        <v>3264.4080000000004</v>
      </c>
      <c r="F32" s="17">
        <f t="shared" ca="1" si="11"/>
        <v>3394.9843200000005</v>
      </c>
      <c r="G32" s="17">
        <f t="shared" ca="1" si="11"/>
        <v>3530.7836928000006</v>
      </c>
      <c r="H32" s="17">
        <f t="shared" ca="1" si="11"/>
        <v>3672.0150405120007</v>
      </c>
      <c r="I32" s="20">
        <f ca="1">_xlfn.RRI(5,C32,H32)</f>
        <v>6.4415080683943859E-3</v>
      </c>
      <c r="J32" s="20"/>
      <c r="P32" t="s">
        <v>83</v>
      </c>
      <c r="Q32" s="60">
        <f t="shared" ca="1" si="1"/>
        <v>7.5</v>
      </c>
      <c r="R32" s="33">
        <v>7.5</v>
      </c>
      <c r="S32" s="33">
        <v>7.5</v>
      </c>
      <c r="T32" s="33">
        <v>7.5</v>
      </c>
      <c r="U32" s="33">
        <v>7.5</v>
      </c>
      <c r="V32" s="33">
        <v>7.5</v>
      </c>
      <c r="W32" s="33">
        <f t="shared" si="4"/>
        <v>7.5</v>
      </c>
      <c r="X32" s="33">
        <f t="shared" si="8"/>
        <v>7.5</v>
      </c>
      <c r="Y32" s="33">
        <f t="shared" si="8"/>
        <v>7.5</v>
      </c>
      <c r="Z32" s="33">
        <f t="shared" si="8"/>
        <v>7.5</v>
      </c>
      <c r="AA32" s="33">
        <f t="shared" si="8"/>
        <v>7.5</v>
      </c>
      <c r="AB32" s="33">
        <f t="shared" si="8"/>
        <v>7.5</v>
      </c>
      <c r="AC32" s="33">
        <f t="shared" si="8"/>
        <v>7.5</v>
      </c>
      <c r="AD32" s="33">
        <f t="shared" si="8"/>
        <v>7.5</v>
      </c>
      <c r="AE32" s="33">
        <f t="shared" si="8"/>
        <v>7.5</v>
      </c>
      <c r="AF32" s="33">
        <f t="shared" si="8"/>
        <v>7.5</v>
      </c>
      <c r="AG32" s="33">
        <f t="shared" si="8"/>
        <v>7.5</v>
      </c>
      <c r="AH32" s="33">
        <f t="shared" si="8"/>
        <v>7.5</v>
      </c>
      <c r="AI32" s="33">
        <f t="shared" si="8"/>
        <v>7.5</v>
      </c>
      <c r="AJ32" s="33">
        <f t="shared" si="8"/>
        <v>7.5</v>
      </c>
      <c r="AK32" s="33">
        <f t="shared" si="8"/>
        <v>7.5</v>
      </c>
      <c r="AL32" s="33">
        <f t="shared" si="8"/>
        <v>7.5</v>
      </c>
      <c r="AM32" s="33">
        <f t="shared" si="8"/>
        <v>7.5</v>
      </c>
      <c r="AN32" s="33">
        <f t="shared" si="9"/>
        <v>7.5</v>
      </c>
      <c r="AO32" s="33">
        <f t="shared" si="9"/>
        <v>7.5</v>
      </c>
      <c r="AP32" s="33">
        <f t="shared" si="9"/>
        <v>7.5</v>
      </c>
      <c r="AQ32" s="33">
        <f t="shared" si="9"/>
        <v>7.5</v>
      </c>
      <c r="AR32" s="33">
        <f t="shared" si="9"/>
        <v>7.5</v>
      </c>
      <c r="AS32" s="33">
        <f t="shared" si="9"/>
        <v>7.5</v>
      </c>
      <c r="AT32" s="33">
        <f t="shared" si="9"/>
        <v>7.5</v>
      </c>
      <c r="AU32" s="33">
        <f t="shared" si="9"/>
        <v>7.5</v>
      </c>
      <c r="AV32" s="33">
        <f t="shared" si="9"/>
        <v>7.5</v>
      </c>
      <c r="AW32" s="65">
        <v>8.5</v>
      </c>
      <c r="AX32" s="67">
        <f t="shared" si="9"/>
        <v>7.5</v>
      </c>
    </row>
    <row r="33" spans="2:50" x14ac:dyDescent="0.35">
      <c r="B33" s="11" t="s">
        <v>16</v>
      </c>
      <c r="C33" s="17"/>
      <c r="D33" s="20">
        <f ca="1">$Q$6</f>
        <v>-0.1</v>
      </c>
      <c r="E33" s="20">
        <f ca="1">$Q$7</f>
        <v>0.02</v>
      </c>
      <c r="F33" s="20">
        <f ca="1">$Q$8</f>
        <v>0.04</v>
      </c>
      <c r="G33" s="20">
        <f ca="1">$Q$8</f>
        <v>0.04</v>
      </c>
      <c r="H33" s="20">
        <f ca="1">$Q$8</f>
        <v>0.04</v>
      </c>
      <c r="P33" t="s">
        <v>84</v>
      </c>
      <c r="Q33" s="58">
        <f t="shared" ca="1" si="1"/>
        <v>7.0000000000000007E-2</v>
      </c>
      <c r="R33" s="21">
        <v>7.0000000000000007E-2</v>
      </c>
      <c r="S33" s="21">
        <v>7.0000000000000007E-2</v>
      </c>
      <c r="T33" s="21">
        <v>7.0000000000000007E-2</v>
      </c>
      <c r="U33" s="21">
        <v>7.0000000000000007E-2</v>
      </c>
      <c r="V33" s="21">
        <v>7.0000000000000007E-2</v>
      </c>
      <c r="W33" s="21">
        <f t="shared" si="4"/>
        <v>7.0000000000000007E-2</v>
      </c>
      <c r="X33" s="21">
        <f t="shared" si="8"/>
        <v>7.0000000000000007E-2</v>
      </c>
      <c r="Y33" s="21">
        <f t="shared" si="8"/>
        <v>7.0000000000000007E-2</v>
      </c>
      <c r="Z33" s="21">
        <f t="shared" si="8"/>
        <v>7.0000000000000007E-2</v>
      </c>
      <c r="AA33" s="21">
        <f t="shared" si="8"/>
        <v>7.0000000000000007E-2</v>
      </c>
      <c r="AB33" s="21">
        <f t="shared" si="8"/>
        <v>7.0000000000000007E-2</v>
      </c>
      <c r="AC33" s="21">
        <f t="shared" si="8"/>
        <v>7.0000000000000007E-2</v>
      </c>
      <c r="AD33" s="21">
        <f t="shared" si="8"/>
        <v>7.0000000000000007E-2</v>
      </c>
      <c r="AE33" s="21">
        <f t="shared" si="8"/>
        <v>7.0000000000000007E-2</v>
      </c>
      <c r="AF33" s="21">
        <f t="shared" si="8"/>
        <v>7.0000000000000007E-2</v>
      </c>
      <c r="AG33" s="21">
        <f t="shared" si="8"/>
        <v>7.0000000000000007E-2</v>
      </c>
      <c r="AH33" s="21">
        <f t="shared" si="8"/>
        <v>7.0000000000000007E-2</v>
      </c>
      <c r="AI33" s="21">
        <f t="shared" si="8"/>
        <v>7.0000000000000007E-2</v>
      </c>
      <c r="AJ33" s="21">
        <f t="shared" si="8"/>
        <v>7.0000000000000007E-2</v>
      </c>
      <c r="AK33" s="21">
        <f t="shared" si="8"/>
        <v>7.0000000000000007E-2</v>
      </c>
      <c r="AL33" s="21">
        <f t="shared" si="8"/>
        <v>7.0000000000000007E-2</v>
      </c>
      <c r="AM33" s="21">
        <f t="shared" si="8"/>
        <v>7.0000000000000007E-2</v>
      </c>
      <c r="AN33" s="21">
        <f t="shared" si="9"/>
        <v>7.0000000000000007E-2</v>
      </c>
      <c r="AO33" s="21">
        <f t="shared" si="9"/>
        <v>7.0000000000000007E-2</v>
      </c>
      <c r="AP33" s="21">
        <f t="shared" si="9"/>
        <v>7.0000000000000007E-2</v>
      </c>
      <c r="AQ33" s="21">
        <f t="shared" si="9"/>
        <v>7.0000000000000007E-2</v>
      </c>
      <c r="AR33" s="21">
        <f t="shared" si="9"/>
        <v>7.0000000000000007E-2</v>
      </c>
      <c r="AS33" s="21">
        <f t="shared" si="9"/>
        <v>7.0000000000000007E-2</v>
      </c>
      <c r="AT33" s="21">
        <f t="shared" si="9"/>
        <v>7.0000000000000007E-2</v>
      </c>
      <c r="AU33" s="21">
        <f t="shared" si="9"/>
        <v>7.0000000000000007E-2</v>
      </c>
      <c r="AV33" s="21">
        <f t="shared" si="9"/>
        <v>7.0000000000000007E-2</v>
      </c>
      <c r="AW33" s="21">
        <f t="shared" si="9"/>
        <v>7.0000000000000007E-2</v>
      </c>
      <c r="AX33" s="61">
        <v>0.1</v>
      </c>
    </row>
    <row r="34" spans="2:50" x14ac:dyDescent="0.35">
      <c r="B34" t="s">
        <v>22</v>
      </c>
      <c r="C34" s="57">
        <v>2278</v>
      </c>
      <c r="D34" s="17">
        <f ca="1">C34*(1+D35)</f>
        <v>2050.2000000000003</v>
      </c>
      <c r="E34" s="17">
        <f t="shared" ref="E34" ca="1" si="12">D34*(1+E35)</f>
        <v>2091.2040000000002</v>
      </c>
      <c r="F34" s="17">
        <f t="shared" ref="F34" ca="1" si="13">E34*(1+F35)</f>
        <v>2174.8521600000004</v>
      </c>
      <c r="G34" s="17">
        <f t="shared" ref="G34" ca="1" si="14">F34*(1+G35)</f>
        <v>2261.8462464000004</v>
      </c>
      <c r="H34" s="17">
        <f t="shared" ref="H34" ca="1" si="15">G34*(1+H35)</f>
        <v>2352.3200962560004</v>
      </c>
      <c r="I34" s="20">
        <f ca="1">_xlfn.RRI(5,C34,H34)</f>
        <v>6.4415080683943859E-3</v>
      </c>
      <c r="J34" s="20"/>
      <c r="P34" t="s">
        <v>96</v>
      </c>
      <c r="Q34" s="21">
        <f ca="1">C24</f>
        <v>7.8075105339641571E-2</v>
      </c>
      <c r="R34" s="21">
        <f>R38</f>
        <v>7.8075105339641571E-2</v>
      </c>
      <c r="S34" s="21">
        <f t="shared" ref="S34:V34" si="16">S38</f>
        <v>0.21853251711716681</v>
      </c>
      <c r="T34" s="21">
        <f t="shared" si="16"/>
        <v>-1.2770235651609285E-2</v>
      </c>
      <c r="U34" s="21">
        <f t="shared" si="16"/>
        <v>0.19423673950504061</v>
      </c>
      <c r="V34" s="21">
        <f t="shared" si="16"/>
        <v>0.19038787353259257</v>
      </c>
    </row>
    <row r="35" spans="2:50" x14ac:dyDescent="0.35">
      <c r="B35" s="11" t="s">
        <v>16</v>
      </c>
      <c r="C35" s="17"/>
      <c r="D35" s="20">
        <f ca="1">$Q$9</f>
        <v>-0.1</v>
      </c>
      <c r="E35" s="20">
        <f ca="1">$Q$10</f>
        <v>0.02</v>
      </c>
      <c r="F35" s="20">
        <f ca="1">$Q$11</f>
        <v>0.04</v>
      </c>
      <c r="G35" s="20">
        <f ca="1">$Q$11</f>
        <v>0.04</v>
      </c>
      <c r="H35" s="20">
        <f ca="1">$Q$11</f>
        <v>0.04</v>
      </c>
      <c r="P35" t="s">
        <v>97</v>
      </c>
      <c r="Q35" s="33">
        <f ca="1">C25</f>
        <v>1.4562806791058063</v>
      </c>
      <c r="R35" s="33">
        <f t="shared" ref="R35:V36" si="17">R39</f>
        <v>1.4562806791058063</v>
      </c>
      <c r="S35" s="33">
        <f t="shared" si="17"/>
        <v>2.6864923928544728</v>
      </c>
      <c r="T35" s="33">
        <f t="shared" si="17"/>
        <v>0.93775891799969757</v>
      </c>
      <c r="U35" s="33">
        <f t="shared" si="17"/>
        <v>2.4291377234067961</v>
      </c>
      <c r="V35" s="33">
        <f t="shared" si="17"/>
        <v>2.3902452859958716</v>
      </c>
    </row>
    <row r="36" spans="2:50" x14ac:dyDescent="0.35">
      <c r="B36" t="s">
        <v>23</v>
      </c>
      <c r="C36" s="57">
        <v>1287</v>
      </c>
      <c r="D36" s="17">
        <f ca="1">C36*(1+D37)</f>
        <v>1158.3</v>
      </c>
      <c r="E36" s="17">
        <f t="shared" ref="E36" ca="1" si="18">D36*(1+E37)</f>
        <v>1181.4659999999999</v>
      </c>
      <c r="F36" s="17">
        <f t="shared" ref="F36" ca="1" si="19">E36*(1+F37)</f>
        <v>1228.7246399999999</v>
      </c>
      <c r="G36" s="17">
        <f t="shared" ref="G36" ca="1" si="20">F36*(1+G37)</f>
        <v>1277.8736256</v>
      </c>
      <c r="H36" s="17">
        <f t="shared" ref="H36" ca="1" si="21">G36*(1+H37)</f>
        <v>1328.988570624</v>
      </c>
      <c r="I36" s="20">
        <f ca="1">_xlfn.RRI(5,C36,H36)</f>
        <v>6.4415080683943859E-3</v>
      </c>
      <c r="J36" s="20"/>
      <c r="P36" t="s">
        <v>100</v>
      </c>
      <c r="Q36" s="36">
        <f ca="1">MIN(D99:H99)</f>
        <v>2.3387033360071561</v>
      </c>
      <c r="R36" s="36">
        <f t="shared" si="17"/>
        <v>2.3387033360071561</v>
      </c>
      <c r="S36" s="36">
        <f t="shared" si="17"/>
        <v>2.4048893891071423</v>
      </c>
      <c r="T36" s="36">
        <f t="shared" si="17"/>
        <v>2.3153280208418399</v>
      </c>
      <c r="U36" s="36">
        <f t="shared" si="17"/>
        <v>2.3754868985188513</v>
      </c>
      <c r="V36" s="36">
        <f t="shared" si="17"/>
        <v>2.3972671573438546</v>
      </c>
    </row>
    <row r="37" spans="2:50" x14ac:dyDescent="0.35">
      <c r="B37" s="11" t="s">
        <v>16</v>
      </c>
      <c r="C37" s="17"/>
      <c r="D37" s="20">
        <f ca="1">$Q$12</f>
        <v>-0.1</v>
      </c>
      <c r="E37" s="20">
        <f ca="1">$Q$13</f>
        <v>0.02</v>
      </c>
      <c r="F37" s="20">
        <f ca="1">$Q$14</f>
        <v>0.04</v>
      </c>
      <c r="G37" s="20">
        <f ca="1">$Q$14</f>
        <v>0.04</v>
      </c>
      <c r="H37" s="20">
        <f ca="1">$Q$14</f>
        <v>0.04</v>
      </c>
      <c r="R37">
        <v>1</v>
      </c>
      <c r="S37">
        <f>R37+1</f>
        <v>2</v>
      </c>
      <c r="T37">
        <f t="shared" ref="T37:AX37" si="22">S37+1</f>
        <v>3</v>
      </c>
      <c r="U37">
        <f t="shared" si="22"/>
        <v>4</v>
      </c>
      <c r="V37">
        <f t="shared" si="22"/>
        <v>5</v>
      </c>
      <c r="W37">
        <f t="shared" si="22"/>
        <v>6</v>
      </c>
      <c r="X37">
        <f t="shared" si="22"/>
        <v>7</v>
      </c>
      <c r="Y37">
        <f t="shared" si="22"/>
        <v>8</v>
      </c>
      <c r="Z37">
        <f t="shared" si="22"/>
        <v>9</v>
      </c>
      <c r="AA37">
        <f t="shared" si="22"/>
        <v>10</v>
      </c>
      <c r="AB37">
        <f t="shared" si="22"/>
        <v>11</v>
      </c>
      <c r="AC37">
        <f t="shared" si="22"/>
        <v>12</v>
      </c>
      <c r="AD37">
        <f t="shared" si="22"/>
        <v>13</v>
      </c>
      <c r="AE37">
        <f t="shared" si="22"/>
        <v>14</v>
      </c>
      <c r="AF37">
        <f t="shared" si="22"/>
        <v>15</v>
      </c>
      <c r="AG37">
        <f t="shared" si="22"/>
        <v>16</v>
      </c>
      <c r="AH37">
        <f t="shared" si="22"/>
        <v>17</v>
      </c>
      <c r="AI37">
        <f t="shared" si="22"/>
        <v>18</v>
      </c>
      <c r="AJ37">
        <f t="shared" si="22"/>
        <v>19</v>
      </c>
      <c r="AK37">
        <f t="shared" si="22"/>
        <v>20</v>
      </c>
      <c r="AL37">
        <f t="shared" si="22"/>
        <v>21</v>
      </c>
      <c r="AM37">
        <f t="shared" si="22"/>
        <v>22</v>
      </c>
      <c r="AN37">
        <f t="shared" si="22"/>
        <v>23</v>
      </c>
      <c r="AO37">
        <f t="shared" si="22"/>
        <v>24</v>
      </c>
      <c r="AP37">
        <f t="shared" si="22"/>
        <v>25</v>
      </c>
      <c r="AQ37">
        <f t="shared" si="22"/>
        <v>26</v>
      </c>
      <c r="AR37">
        <f t="shared" si="22"/>
        <v>27</v>
      </c>
      <c r="AS37">
        <f t="shared" si="22"/>
        <v>28</v>
      </c>
      <c r="AT37">
        <f t="shared" si="22"/>
        <v>29</v>
      </c>
      <c r="AU37">
        <f t="shared" si="22"/>
        <v>30</v>
      </c>
      <c r="AV37">
        <f t="shared" si="22"/>
        <v>31</v>
      </c>
      <c r="AW37">
        <f t="shared" si="22"/>
        <v>32</v>
      </c>
      <c r="AX37">
        <f t="shared" si="22"/>
        <v>33</v>
      </c>
    </row>
    <row r="38" spans="2:50" x14ac:dyDescent="0.35">
      <c r="B38" t="s">
        <v>24</v>
      </c>
      <c r="C38" s="57">
        <v>1133</v>
      </c>
      <c r="D38" s="17">
        <f ca="1">C38*(1+D39)</f>
        <v>1019.7</v>
      </c>
      <c r="E38" s="17">
        <f t="shared" ref="E38" ca="1" si="23">D38*(1+E39)</f>
        <v>1040.0940000000001</v>
      </c>
      <c r="F38" s="17">
        <f t="shared" ref="F38" ca="1" si="24">E38*(1+F39)</f>
        <v>1081.69776</v>
      </c>
      <c r="G38" s="17">
        <f t="shared" ref="G38" ca="1" si="25">F38*(1+G39)</f>
        <v>1124.9656704000001</v>
      </c>
      <c r="H38" s="17">
        <f t="shared" ref="H38" ca="1" si="26">G38*(1+H39)</f>
        <v>1169.9642972160002</v>
      </c>
      <c r="I38" s="20">
        <f ca="1">_xlfn.RRI(5,C38,H38)</f>
        <v>6.4415080683943859E-3</v>
      </c>
      <c r="J38" s="20"/>
      <c r="Q38" s="21">
        <f ca="1">Q34</f>
        <v>7.8075105339641571E-2</v>
      </c>
      <c r="R38" s="21">
        <f t="dataTable" ref="R38:AX40" dt2D="0" dtr="1" r1="Q4" ca="1"/>
        <v>7.8075105339641571E-2</v>
      </c>
      <c r="S38" s="21">
        <v>0.21853251711716681</v>
      </c>
      <c r="T38" s="21">
        <v>-1.2770235651609285E-2</v>
      </c>
      <c r="U38" s="21">
        <v>0.19423673950504061</v>
      </c>
      <c r="V38" s="21">
        <v>0.19038787353259257</v>
      </c>
      <c r="W38" s="21">
        <v>8.7943993941254295E-2</v>
      </c>
      <c r="X38" s="21">
        <v>8.5656209785834658E-2</v>
      </c>
      <c r="Y38" s="21">
        <v>9.7190595894377063E-2</v>
      </c>
      <c r="Z38" s="21">
        <v>8.4384946995754495E-2</v>
      </c>
      <c r="AA38" s="21">
        <v>8.2956005507331509E-2</v>
      </c>
      <c r="AB38" s="21">
        <v>9.0474147793754289E-2</v>
      </c>
      <c r="AC38" s="21">
        <v>8.1634731494316437E-2</v>
      </c>
      <c r="AD38" s="21">
        <v>8.0843493375003961E-2</v>
      </c>
      <c r="AE38" s="21">
        <v>8.5149717076921538E-2</v>
      </c>
      <c r="AF38" s="21">
        <v>8.120808505949717E-2</v>
      </c>
      <c r="AG38" s="21">
        <v>8.0513724688901389E-2</v>
      </c>
      <c r="AH38" s="21">
        <v>8.431285878296757E-2</v>
      </c>
      <c r="AI38" s="21">
        <v>8.1985685490280513E-2</v>
      </c>
      <c r="AJ38" s="21">
        <v>9.8150680100258736E-2</v>
      </c>
      <c r="AK38" s="21">
        <v>4.921228999706484E-2</v>
      </c>
      <c r="AL38" s="21">
        <v>7.7017923723067705E-2</v>
      </c>
      <c r="AM38" s="21">
        <v>8.0654299250651817E-2</v>
      </c>
      <c r="AN38" s="21">
        <v>6.7857055242323439E-2</v>
      </c>
      <c r="AO38" s="21">
        <v>7.425485433630552E-2</v>
      </c>
      <c r="AP38" s="21">
        <v>5.4979307746075845E-2</v>
      </c>
      <c r="AQ38" s="21">
        <v>8.0084439464418899E-2</v>
      </c>
      <c r="AR38" s="21">
        <v>7.3926922807939999E-2</v>
      </c>
      <c r="AS38" s="21">
        <v>7.8075106410823381E-2</v>
      </c>
      <c r="AT38" s="21">
        <v>8.0084439471665547E-2</v>
      </c>
      <c r="AU38" s="21">
        <v>7.8075106188494336E-2</v>
      </c>
      <c r="AV38" s="21">
        <v>7.8075105278444301E-2</v>
      </c>
      <c r="AW38" s="21">
        <v>0.1111638721288708</v>
      </c>
      <c r="AX38" s="21">
        <v>7.5887005020816911E-2</v>
      </c>
    </row>
    <row r="39" spans="2:50" x14ac:dyDescent="0.35">
      <c r="B39" s="11" t="s">
        <v>16</v>
      </c>
      <c r="C39" s="57"/>
      <c r="D39" s="20">
        <f ca="1">$Q$15</f>
        <v>-0.1</v>
      </c>
      <c r="E39" s="20">
        <f ca="1">$Q$16</f>
        <v>0.02</v>
      </c>
      <c r="F39" s="20">
        <f ca="1">$Q$17</f>
        <v>0.04</v>
      </c>
      <c r="G39" s="20">
        <f ca="1">$Q$17</f>
        <v>0.04</v>
      </c>
      <c r="H39" s="20">
        <f ca="1">$Q$17</f>
        <v>0.04</v>
      </c>
      <c r="Q39" s="33">
        <f t="shared" ref="Q39:Q40" ca="1" si="27">Q35</f>
        <v>1.4562806791058063</v>
      </c>
      <c r="R39" s="33">
        <v>1.4562806791058063</v>
      </c>
      <c r="S39" s="33">
        <v>2.6864923928544728</v>
      </c>
      <c r="T39" s="33">
        <v>0.93775891799969757</v>
      </c>
      <c r="U39" s="33">
        <v>2.4291377234067961</v>
      </c>
      <c r="V39" s="33">
        <v>2.3902452859958716</v>
      </c>
      <c r="W39" s="33">
        <v>1.5241674929859599</v>
      </c>
      <c r="X39" s="33">
        <v>1.5082092638637339</v>
      </c>
      <c r="Y39" s="33">
        <v>1.5900485418042201</v>
      </c>
      <c r="Z39" s="33">
        <v>1.4993996365156084</v>
      </c>
      <c r="AA39" s="33">
        <v>1.4895465160232864</v>
      </c>
      <c r="AB39" s="33">
        <v>1.5419733591313169</v>
      </c>
      <c r="AC39" s="33">
        <v>1.4804819624320542</v>
      </c>
      <c r="AD39" s="33">
        <v>1.4750748635502049</v>
      </c>
      <c r="AE39" s="33">
        <v>1.5046944100947572</v>
      </c>
      <c r="AF39" s="33">
        <v>1.4775644144312834</v>
      </c>
      <c r="AG39" s="33">
        <v>1.4728259867790809</v>
      </c>
      <c r="AH39" s="33">
        <v>1.4989013140789855</v>
      </c>
      <c r="AI39" s="33">
        <v>1.4828853539270841</v>
      </c>
      <c r="AJ39" s="33">
        <v>1.5970174971904674</v>
      </c>
      <c r="AK39" s="33">
        <v>1.2715014078675742</v>
      </c>
      <c r="AL39" s="33">
        <v>1.4491543820498149</v>
      </c>
      <c r="AM39" s="33">
        <v>1.4737843075385626</v>
      </c>
      <c r="AN39" s="33">
        <v>1.3885630575292642</v>
      </c>
      <c r="AO39" s="33">
        <v>1.4306606239513808</v>
      </c>
      <c r="AP39" s="33">
        <v>1.3068318410657764</v>
      </c>
      <c r="AQ39" s="33">
        <v>1.4699025614372847</v>
      </c>
      <c r="AR39" s="33">
        <v>1.4284783095042595</v>
      </c>
      <c r="AS39" s="33">
        <v>1.4562806863406512</v>
      </c>
      <c r="AT39" s="33">
        <v>1.4699025614865955</v>
      </c>
      <c r="AU39" s="33">
        <v>1.4562806848390242</v>
      </c>
      <c r="AV39" s="33">
        <v>1.4562806786924751</v>
      </c>
      <c r="AW39" s="33">
        <v>1.6939108996414385</v>
      </c>
      <c r="AX39" s="33">
        <v>1.441561947521786</v>
      </c>
    </row>
    <row r="40" spans="2:50" x14ac:dyDescent="0.35">
      <c r="B40" t="s">
        <v>25</v>
      </c>
      <c r="C40" s="57">
        <v>421</v>
      </c>
      <c r="D40" s="17">
        <f ca="1">D41*SUM(D32,D34,D36,D38)</f>
        <v>378.85859999999997</v>
      </c>
      <c r="E40" s="17">
        <f t="shared" ref="E40:H40" ca="1" si="28">E41*SUM(E32,E34,E36,E38)</f>
        <v>386.43577200000004</v>
      </c>
      <c r="F40" s="17">
        <f t="shared" ca="1" si="28"/>
        <v>401.89320287999999</v>
      </c>
      <c r="G40" s="17">
        <f t="shared" ca="1" si="28"/>
        <v>417.96893099520008</v>
      </c>
      <c r="H40" s="17">
        <f t="shared" ca="1" si="28"/>
        <v>434.68768823500801</v>
      </c>
      <c r="I40" s="20">
        <f ca="1">_xlfn.RRI(5,C40,H40)</f>
        <v>6.4195136109570505E-3</v>
      </c>
      <c r="J40" s="20"/>
      <c r="Q40" s="36">
        <f t="shared" ca="1" si="27"/>
        <v>2.3387033360071561</v>
      </c>
      <c r="R40" s="36">
        <v>2.3387033360071561</v>
      </c>
      <c r="S40" s="36">
        <v>2.4048893891071423</v>
      </c>
      <c r="T40" s="36">
        <v>2.3153280208418399</v>
      </c>
      <c r="U40" s="36">
        <v>2.3754868985188513</v>
      </c>
      <c r="V40" s="36">
        <v>2.3972671573438546</v>
      </c>
      <c r="W40" s="36">
        <v>2.345756044130503</v>
      </c>
      <c r="X40" s="36">
        <v>2.3387033360071561</v>
      </c>
      <c r="Y40" s="36">
        <v>2.3387033360071561</v>
      </c>
      <c r="Z40" s="36">
        <v>2.3432679891772783</v>
      </c>
      <c r="AA40" s="36">
        <v>2.3387033360071561</v>
      </c>
      <c r="AB40" s="36">
        <v>2.3387033360071561</v>
      </c>
      <c r="AC40" s="36">
        <v>2.3413030331903304</v>
      </c>
      <c r="AD40" s="36">
        <v>2.3387033360071561</v>
      </c>
      <c r="AE40" s="36">
        <v>2.3387033360071561</v>
      </c>
      <c r="AF40" s="36">
        <v>2.3409948315565066</v>
      </c>
      <c r="AG40" s="36">
        <v>2.3387033360071561</v>
      </c>
      <c r="AH40" s="36">
        <v>2.3387033360071561</v>
      </c>
      <c r="AI40" s="36">
        <v>2.3415558707966193</v>
      </c>
      <c r="AJ40" s="36">
        <v>2.3453865225823392</v>
      </c>
      <c r="AK40" s="36">
        <v>2.3290638064828184</v>
      </c>
      <c r="AL40" s="36">
        <v>2.3200172972384254</v>
      </c>
      <c r="AM40" s="36">
        <v>2.1576540004013722</v>
      </c>
      <c r="AN40" s="36">
        <v>2.3226220601563257</v>
      </c>
      <c r="AO40" s="36">
        <v>2.3130111782016338</v>
      </c>
      <c r="AP40" s="36">
        <v>2.3387033360071561</v>
      </c>
      <c r="AQ40" s="36">
        <v>2.1142412118861942</v>
      </c>
      <c r="AR40" s="36">
        <v>2.0678149777512655</v>
      </c>
      <c r="AS40" s="36">
        <v>2.3387033360071561</v>
      </c>
      <c r="AT40" s="36">
        <v>2.1142412118861942</v>
      </c>
      <c r="AU40" s="36">
        <v>2.3387033360071561</v>
      </c>
      <c r="AV40" s="36">
        <v>2.3387033360071561</v>
      </c>
      <c r="AW40" s="36">
        <v>2.3387033360071561</v>
      </c>
      <c r="AX40" s="36">
        <v>2.3387033360071561</v>
      </c>
    </row>
    <row r="41" spans="2:50" x14ac:dyDescent="0.35">
      <c r="B41" s="11" t="s">
        <v>43</v>
      </c>
      <c r="C41" s="20">
        <f>C40/SUM(C38,C36,C34,C32)</f>
        <v>5.1005573055488251E-2</v>
      </c>
      <c r="D41" s="20">
        <f ca="1">$Q$18</f>
        <v>5.0999999999999997E-2</v>
      </c>
      <c r="E41" s="20">
        <f ca="1">$Q$18</f>
        <v>5.0999999999999997E-2</v>
      </c>
      <c r="F41" s="20">
        <f ca="1">$Q$18</f>
        <v>5.0999999999999997E-2</v>
      </c>
      <c r="G41" s="20">
        <f ca="1">$Q$18</f>
        <v>5.0999999999999997E-2</v>
      </c>
      <c r="H41" s="20">
        <f ca="1">$Q$18</f>
        <v>5.0999999999999997E-2</v>
      </c>
      <c r="W41" s="19">
        <f>ABS(W38-$R$38)</f>
        <v>9.8688886016127242E-3</v>
      </c>
      <c r="X41" s="19">
        <f t="shared" ref="X41:AX41" si="29">ABS(X38-$R$38)</f>
        <v>7.5811044461930877E-3</v>
      </c>
      <c r="Y41" s="19">
        <f t="shared" si="29"/>
        <v>1.9115490554735493E-2</v>
      </c>
      <c r="Z41" s="19">
        <f t="shared" si="29"/>
        <v>6.3098416561129245E-3</v>
      </c>
      <c r="AA41" s="19">
        <f t="shared" si="29"/>
        <v>4.8809001676899388E-3</v>
      </c>
      <c r="AB41" s="19">
        <f t="shared" si="29"/>
        <v>1.2399042454112719E-2</v>
      </c>
      <c r="AC41" s="19">
        <f t="shared" si="29"/>
        <v>3.5596261546748664E-3</v>
      </c>
      <c r="AD41" s="19">
        <f t="shared" si="29"/>
        <v>2.7683880353623902E-3</v>
      </c>
      <c r="AE41" s="19">
        <f t="shared" si="29"/>
        <v>7.0746117372799677E-3</v>
      </c>
      <c r="AF41" s="19">
        <f t="shared" si="29"/>
        <v>3.1329797198555998E-3</v>
      </c>
      <c r="AG41" s="19">
        <f t="shared" si="29"/>
        <v>2.4386193492598185E-3</v>
      </c>
      <c r="AH41" s="19">
        <f t="shared" si="29"/>
        <v>6.2377534433259996E-3</v>
      </c>
      <c r="AI41" s="19">
        <f t="shared" si="29"/>
        <v>3.9105801506389426E-3</v>
      </c>
      <c r="AJ41" s="19">
        <f t="shared" si="29"/>
        <v>2.0075574760617165E-2</v>
      </c>
      <c r="AK41" s="19">
        <f t="shared" si="29"/>
        <v>2.8862815342576731E-2</v>
      </c>
      <c r="AL41" s="19">
        <f t="shared" si="29"/>
        <v>1.0571816165738657E-3</v>
      </c>
      <c r="AM41" s="19">
        <f t="shared" si="29"/>
        <v>2.5791939110102469E-3</v>
      </c>
      <c r="AN41" s="19">
        <f t="shared" si="29"/>
        <v>1.0218050097318132E-2</v>
      </c>
      <c r="AO41" s="19">
        <f t="shared" si="29"/>
        <v>3.8202510033360504E-3</v>
      </c>
      <c r="AP41" s="19">
        <f t="shared" si="29"/>
        <v>2.3095797593565726E-2</v>
      </c>
      <c r="AQ41" s="19">
        <f t="shared" si="29"/>
        <v>2.0093341247773289E-3</v>
      </c>
      <c r="AR41" s="19">
        <f t="shared" si="29"/>
        <v>4.1481825317015719E-3</v>
      </c>
      <c r="AS41" s="19">
        <f t="shared" si="29"/>
        <v>1.071181809919608E-9</v>
      </c>
      <c r="AT41" s="19">
        <f t="shared" si="29"/>
        <v>2.0093341320239766E-3</v>
      </c>
      <c r="AU41" s="19">
        <f t="shared" si="29"/>
        <v>8.4885276585566771E-10</v>
      </c>
      <c r="AV41" s="19">
        <f t="shared" si="29"/>
        <v>6.1197269474178029E-11</v>
      </c>
      <c r="AW41" s="19">
        <f t="shared" si="29"/>
        <v>3.3088766789229229E-2</v>
      </c>
      <c r="AX41" s="19">
        <f t="shared" si="29"/>
        <v>2.1881003188246595E-3</v>
      </c>
    </row>
    <row r="42" spans="2:50" x14ac:dyDescent="0.35">
      <c r="B42" s="28" t="s">
        <v>26</v>
      </c>
      <c r="C42" s="29">
        <f>SUM(C40,C38,C36,C34,C32)</f>
        <v>8675</v>
      </c>
      <c r="D42" s="29">
        <f t="shared" ref="D42:H42" ca="1" si="30">SUM(D40,D38,D36,D34,D32)</f>
        <v>7807.4585999999999</v>
      </c>
      <c r="E42" s="29">
        <f t="shared" ca="1" si="30"/>
        <v>7963.6077720000003</v>
      </c>
      <c r="F42" s="29">
        <f t="shared" ca="1" si="30"/>
        <v>8282.1520828800021</v>
      </c>
      <c r="G42" s="29">
        <f t="shared" ca="1" si="30"/>
        <v>8613.4381661952011</v>
      </c>
      <c r="H42" s="29">
        <f t="shared" ca="1" si="30"/>
        <v>8957.9756928430088</v>
      </c>
      <c r="I42" s="20">
        <f ca="1">_xlfn.RRI(5,C42,H42)</f>
        <v>6.4404407160585375E-3</v>
      </c>
      <c r="J42" s="20"/>
    </row>
    <row r="43" spans="2:50" ht="16" x14ac:dyDescent="0.5">
      <c r="B43" s="11" t="s">
        <v>16</v>
      </c>
      <c r="C43" s="20">
        <f>C42/8246-1</f>
        <v>5.2025224351200494E-2</v>
      </c>
      <c r="D43" s="20">
        <f ca="1">D42/C42-1</f>
        <v>-0.10000477233429395</v>
      </c>
      <c r="E43" s="20">
        <f t="shared" ref="E43:H43" ca="1" si="31">E42/D42-1</f>
        <v>2.0000000000000018E-2</v>
      </c>
      <c r="F43" s="20">
        <f t="shared" ca="1" si="31"/>
        <v>4.0000000000000258E-2</v>
      </c>
      <c r="G43" s="20">
        <f t="shared" ca="1" si="31"/>
        <v>3.9999999999999813E-2</v>
      </c>
      <c r="H43" s="20">
        <f t="shared" ca="1" si="31"/>
        <v>4.0000000000000036E-2</v>
      </c>
      <c r="P43" s="1" t="s">
        <v>132</v>
      </c>
      <c r="Q43" s="1" t="s">
        <v>14</v>
      </c>
      <c r="R43" s="1" t="s">
        <v>133</v>
      </c>
      <c r="S43" s="76" t="s">
        <v>134</v>
      </c>
      <c r="T43" s="76"/>
    </row>
    <row r="44" spans="2:50" x14ac:dyDescent="0.35">
      <c r="C44" s="17"/>
      <c r="D44" s="17"/>
      <c r="E44" s="17"/>
      <c r="F44" s="17"/>
      <c r="G44" s="17"/>
      <c r="H44" s="17"/>
      <c r="P44" t="str">
        <f>P6</f>
        <v>Pottery barn ST</v>
      </c>
      <c r="Q44" s="21">
        <f>R6</f>
        <v>-0.1</v>
      </c>
      <c r="R44" s="21">
        <v>0.02</v>
      </c>
      <c r="S44" s="19" cm="1">
        <f t="array" ref="S44:S71">TRANSPOSE(W41:AX41)</f>
        <v>9.8688886016127242E-3</v>
      </c>
      <c r="T44" s="68" t="str">
        <f>REPT("|",S44*2500)</f>
        <v>||||||||||||||||||||||||</v>
      </c>
    </row>
    <row r="45" spans="2:50" x14ac:dyDescent="0.35">
      <c r="B45" s="26" t="s">
        <v>17</v>
      </c>
      <c r="C45" s="27">
        <v>3678</v>
      </c>
      <c r="D45" s="27">
        <f ca="1">D46*D42</f>
        <v>3335.2023146835736</v>
      </c>
      <c r="E45" s="27">
        <f t="shared" ref="E45:H45" ca="1" si="32">E46*E42</f>
        <v>3427.426625652934</v>
      </c>
      <c r="F45" s="27">
        <f t="shared" ca="1" si="32"/>
        <v>3591.0647659417687</v>
      </c>
      <c r="G45" s="27">
        <f t="shared" ca="1" si="32"/>
        <v>3762.310074852664</v>
      </c>
      <c r="H45" s="27">
        <f t="shared" ca="1" si="32"/>
        <v>3941.5093048509239</v>
      </c>
      <c r="I45" s="20">
        <f ca="1">_xlfn.RRI(5,C45,H45)</f>
        <v>1.3935120317647431E-2</v>
      </c>
      <c r="J45" s="20"/>
      <c r="P45" t="str">
        <f t="shared" ref="P45:P71" si="33">P7</f>
        <v>Pottery barn MT</v>
      </c>
      <c r="Q45" s="21">
        <f t="shared" ref="Q45:Q71" si="34">R7</f>
        <v>0.02</v>
      </c>
      <c r="R45" s="21">
        <v>0.02</v>
      </c>
      <c r="S45" s="19">
        <v>7.5811044461930877E-3</v>
      </c>
      <c r="T45" s="68" t="str">
        <f t="shared" ref="T45:T71" si="35">REPT("|",S45*2500)</f>
        <v>||||||||||||||||||</v>
      </c>
    </row>
    <row r="46" spans="2:50" x14ac:dyDescent="0.35">
      <c r="B46" s="11" t="s">
        <v>18</v>
      </c>
      <c r="C46" s="20">
        <f>C45/C$42</f>
        <v>0.42397694524495677</v>
      </c>
      <c r="D46" s="20">
        <f ca="1">C46+($H46-$C46)/5</f>
        <v>0.42718155619596543</v>
      </c>
      <c r="E46" s="20">
        <f t="shared" ref="E46:G46" ca="1" si="36">D46+($H46-$C46)/5</f>
        <v>0.43038616714697409</v>
      </c>
      <c r="F46" s="20">
        <f t="shared" ca="1" si="36"/>
        <v>0.43359077809798274</v>
      </c>
      <c r="G46" s="20">
        <f t="shared" ca="1" si="36"/>
        <v>0.4367953890489914</v>
      </c>
      <c r="H46" s="20">
        <f ca="1">$Q$19</f>
        <v>0.44</v>
      </c>
      <c r="P46" t="str">
        <f t="shared" si="33"/>
        <v>Pottery barn LT</v>
      </c>
      <c r="Q46" s="21">
        <f t="shared" si="34"/>
        <v>0.04</v>
      </c>
      <c r="R46" s="21">
        <v>0.02</v>
      </c>
      <c r="S46" s="19">
        <v>1.9115490554735493E-2</v>
      </c>
      <c r="T46" s="68" t="str">
        <f t="shared" si="35"/>
        <v>|||||||||||||||||||||||||||||||||||||||||||||||</v>
      </c>
    </row>
    <row r="47" spans="2:50" x14ac:dyDescent="0.35">
      <c r="B47" s="11" t="s">
        <v>16</v>
      </c>
      <c r="C47" s="17"/>
      <c r="D47" s="20">
        <f ca="1">D45/C45-1</f>
        <v>-9.3202198291578719E-2</v>
      </c>
      <c r="E47" s="20">
        <f t="shared" ref="E47:H47" ca="1" si="37">E45/D45-1</f>
        <v>2.7651789087376644E-2</v>
      </c>
      <c r="F47" s="20">
        <f t="shared" ca="1" si="37"/>
        <v>4.7743732590529442E-2</v>
      </c>
      <c r="G47" s="20">
        <f t="shared" ca="1" si="37"/>
        <v>4.7686499707555674E-2</v>
      </c>
      <c r="H47" s="20">
        <f t="shared" ca="1" si="37"/>
        <v>4.7630106618811174E-2</v>
      </c>
      <c r="P47" t="str">
        <f t="shared" si="33"/>
        <v>West Elm ST</v>
      </c>
      <c r="Q47" s="21">
        <f t="shared" si="34"/>
        <v>-0.1</v>
      </c>
      <c r="R47" s="21">
        <v>0.02</v>
      </c>
      <c r="S47" s="19">
        <v>6.3098416561129245E-3</v>
      </c>
      <c r="T47" s="68" t="str">
        <f t="shared" si="35"/>
        <v>|||||||||||||||</v>
      </c>
    </row>
    <row r="48" spans="2:50" x14ac:dyDescent="0.35">
      <c r="C48" s="17"/>
      <c r="D48" s="17"/>
      <c r="E48" s="17"/>
      <c r="F48" s="17"/>
      <c r="G48" s="17"/>
      <c r="H48" s="17"/>
      <c r="P48" t="str">
        <f t="shared" si="33"/>
        <v>West Elm MT</v>
      </c>
      <c r="Q48" s="21">
        <f t="shared" si="34"/>
        <v>0.02</v>
      </c>
      <c r="R48" s="21">
        <v>0.02</v>
      </c>
      <c r="S48" s="19">
        <v>4.8809001676899388E-3</v>
      </c>
      <c r="T48" s="68" t="str">
        <f t="shared" si="35"/>
        <v>||||||||||||</v>
      </c>
    </row>
    <row r="49" spans="2:20" x14ac:dyDescent="0.35">
      <c r="B49" t="s">
        <v>19</v>
      </c>
      <c r="C49" s="57">
        <v>-2179</v>
      </c>
      <c r="D49" s="17">
        <f ca="1">C49*(1+$Q$20)</f>
        <v>-2222.58</v>
      </c>
      <c r="E49" s="17">
        <f ca="1">D49*(1+$Q$20)</f>
        <v>-2267.0315999999998</v>
      </c>
      <c r="F49" s="17">
        <f ca="1">E49*(1+$Q$20)</f>
        <v>-2312.3722319999997</v>
      </c>
      <c r="G49" s="17">
        <f ca="1">F49*(1+$Q$20)</f>
        <v>-2358.6196766399999</v>
      </c>
      <c r="H49" s="17">
        <f ca="1">G49*(1+$Q$20)</f>
        <v>-2405.7920701727999</v>
      </c>
      <c r="P49" t="str">
        <f t="shared" si="33"/>
        <v>West Elm LT</v>
      </c>
      <c r="Q49" s="21">
        <f t="shared" si="34"/>
        <v>0.04</v>
      </c>
      <c r="R49" s="21">
        <v>0.02</v>
      </c>
      <c r="S49" s="19">
        <v>1.2399042454112719E-2</v>
      </c>
      <c r="T49" s="68" t="str">
        <f t="shared" si="35"/>
        <v>||||||||||||||||||||||||||||||</v>
      </c>
    </row>
    <row r="50" spans="2:20" x14ac:dyDescent="0.35">
      <c r="B50" s="26" t="s">
        <v>47</v>
      </c>
      <c r="C50" s="27">
        <f>SUM(C49,C45)</f>
        <v>1499</v>
      </c>
      <c r="D50" s="27">
        <f t="shared" ref="D50:H50" ca="1" si="38">SUM(D49,D45)</f>
        <v>1112.6223146835737</v>
      </c>
      <c r="E50" s="27">
        <f t="shared" ca="1" si="38"/>
        <v>1160.3950256529342</v>
      </c>
      <c r="F50" s="27">
        <f t="shared" ca="1" si="38"/>
        <v>1278.6925339417689</v>
      </c>
      <c r="G50" s="27">
        <f t="shared" ca="1" si="38"/>
        <v>1403.6903982126641</v>
      </c>
      <c r="H50" s="27">
        <f t="shared" ca="1" si="38"/>
        <v>1535.717234678124</v>
      </c>
      <c r="I50" s="20">
        <f ca="1">_xlfn.RRI(5,C50,H50)</f>
        <v>4.851592377074665E-3</v>
      </c>
      <c r="J50" s="20"/>
      <c r="P50" t="str">
        <f t="shared" si="33"/>
        <v>Williams Sonoma ST</v>
      </c>
      <c r="Q50" s="21">
        <f t="shared" si="34"/>
        <v>-0.1</v>
      </c>
      <c r="R50" s="21">
        <v>0.02</v>
      </c>
      <c r="S50" s="19">
        <v>3.5596261546748664E-3</v>
      </c>
      <c r="T50" s="68" t="str">
        <f t="shared" si="35"/>
        <v>||||||||</v>
      </c>
    </row>
    <row r="51" spans="2:20" x14ac:dyDescent="0.35">
      <c r="B51" s="11" t="s">
        <v>18</v>
      </c>
      <c r="C51" s="20">
        <f>C50/C42</f>
        <v>0.17279538904899136</v>
      </c>
      <c r="D51" s="20">
        <f t="shared" ref="D51:H51" ca="1" si="39">D50/D42</f>
        <v>0.14250761633030928</v>
      </c>
      <c r="E51" s="20">
        <f t="shared" ca="1" si="39"/>
        <v>0.14571222728131797</v>
      </c>
      <c r="F51" s="20">
        <f t="shared" ca="1" si="39"/>
        <v>0.154391337075897</v>
      </c>
      <c r="G51" s="20">
        <f t="shared" ca="1" si="39"/>
        <v>0.16296516804656111</v>
      </c>
      <c r="H51" s="20">
        <f t="shared" ca="1" si="39"/>
        <v>0.17143574478607795</v>
      </c>
      <c r="P51" t="str">
        <f t="shared" si="33"/>
        <v>Williams Sonoma MT</v>
      </c>
      <c r="Q51" s="21">
        <f t="shared" si="34"/>
        <v>0.02</v>
      </c>
      <c r="R51" s="21">
        <v>0.02</v>
      </c>
      <c r="S51" s="19">
        <v>2.7683880353623902E-3</v>
      </c>
      <c r="T51" s="68" t="str">
        <f t="shared" si="35"/>
        <v>||||||</v>
      </c>
    </row>
    <row r="52" spans="2:20" x14ac:dyDescent="0.35">
      <c r="B52" s="11" t="s">
        <v>16</v>
      </c>
      <c r="C52" s="20"/>
      <c r="D52" s="20">
        <f ca="1">D50/C50-1</f>
        <v>-0.25775696151862992</v>
      </c>
      <c r="E52" s="20">
        <f t="shared" ref="E52:H52" ca="1" si="40">E50/D50-1</f>
        <v>4.2937041922394892E-2</v>
      </c>
      <c r="F52" s="20">
        <f t="shared" ca="1" si="40"/>
        <v>0.10194589400473397</v>
      </c>
      <c r="G52" s="20">
        <f t="shared" ca="1" si="40"/>
        <v>9.7754433495884863E-2</v>
      </c>
      <c r="H52" s="20">
        <f t="shared" ca="1" si="40"/>
        <v>9.405694919162455E-2</v>
      </c>
      <c r="P52" t="str">
        <f t="shared" si="33"/>
        <v>Williams Sonoma LT</v>
      </c>
      <c r="Q52" s="21">
        <f t="shared" si="34"/>
        <v>0.04</v>
      </c>
      <c r="R52" s="21">
        <v>0.02</v>
      </c>
      <c r="S52" s="19">
        <v>7.0746117372799677E-3</v>
      </c>
      <c r="T52" s="68" t="str">
        <f t="shared" si="35"/>
        <v>|||||||||||||||||</v>
      </c>
    </row>
    <row r="53" spans="2:20" x14ac:dyDescent="0.35">
      <c r="C53" s="17"/>
      <c r="D53" s="17"/>
      <c r="E53" s="17"/>
      <c r="F53" s="17"/>
      <c r="G53" s="17"/>
      <c r="H53" s="17"/>
      <c r="P53" t="str">
        <f t="shared" si="33"/>
        <v>Pottery Barn Kids and Teen ST</v>
      </c>
      <c r="Q53" s="21">
        <f t="shared" si="34"/>
        <v>-0.1</v>
      </c>
      <c r="R53" s="21">
        <v>0.02</v>
      </c>
      <c r="S53" s="19">
        <v>3.1329797198555998E-3</v>
      </c>
      <c r="T53" s="68" t="str">
        <f t="shared" si="35"/>
        <v>|||||||</v>
      </c>
    </row>
    <row r="54" spans="2:20" x14ac:dyDescent="0.35">
      <c r="B54" s="12" t="s">
        <v>46</v>
      </c>
      <c r="C54" s="17"/>
      <c r="D54" s="17"/>
      <c r="E54" s="17"/>
      <c r="F54" s="17"/>
      <c r="G54" s="17"/>
      <c r="H54" s="17"/>
      <c r="P54" t="str">
        <f t="shared" si="33"/>
        <v>Pottery Barn Kids and Teen MT</v>
      </c>
      <c r="Q54" s="21">
        <f t="shared" si="34"/>
        <v>0.02</v>
      </c>
      <c r="R54" s="21">
        <v>0.02</v>
      </c>
      <c r="S54" s="19">
        <v>2.4386193492598185E-3</v>
      </c>
      <c r="T54" s="68" t="str">
        <f t="shared" si="35"/>
        <v>||||||</v>
      </c>
    </row>
    <row r="55" spans="2:20" x14ac:dyDescent="0.35">
      <c r="B55" s="13" t="s">
        <v>47</v>
      </c>
      <c r="C55" s="30">
        <f>SUM(C45,C49)</f>
        <v>1499</v>
      </c>
      <c r="D55" s="30">
        <f t="shared" ref="D55:H55" ca="1" si="41">SUM(D45,D49)</f>
        <v>1112.6223146835737</v>
      </c>
      <c r="E55" s="30">
        <f t="shared" ca="1" si="41"/>
        <v>1160.3950256529342</v>
      </c>
      <c r="F55" s="30">
        <f t="shared" ca="1" si="41"/>
        <v>1278.6925339417689</v>
      </c>
      <c r="G55" s="30">
        <f t="shared" ca="1" si="41"/>
        <v>1403.6903982126641</v>
      </c>
      <c r="H55" s="30">
        <f t="shared" ca="1" si="41"/>
        <v>1535.717234678124</v>
      </c>
      <c r="I55" s="20">
        <f ca="1">_xlfn.RRI(5,C55,H55)</f>
        <v>4.851592377074665E-3</v>
      </c>
      <c r="J55" s="20"/>
      <c r="L55" s="15">
        <f ca="1">H55*0.75</f>
        <v>1151.7879260085929</v>
      </c>
      <c r="M55" s="15">
        <f ca="1">L55*1.02/8%</f>
        <v>14685.296056609559</v>
      </c>
      <c r="P55" t="str">
        <f t="shared" si="33"/>
        <v>Pottery Barn Kids and Teen LT</v>
      </c>
      <c r="Q55" s="21">
        <f t="shared" si="34"/>
        <v>0.04</v>
      </c>
      <c r="R55" s="21">
        <v>0.02</v>
      </c>
      <c r="S55" s="19">
        <v>6.2377534433259996E-3</v>
      </c>
      <c r="T55" s="68" t="str">
        <f t="shared" si="35"/>
        <v>|||||||||||||||</v>
      </c>
    </row>
    <row r="56" spans="2:20" x14ac:dyDescent="0.35">
      <c r="B56" t="s">
        <v>48</v>
      </c>
      <c r="C56" s="17"/>
      <c r="D56" s="17">
        <f ca="1">D82+D93</f>
        <v>-335.9495651166327</v>
      </c>
      <c r="E56" s="17">
        <f t="shared" ref="E56:H56" ca="1" si="42">E82+E93</f>
        <v>-308.841448631123</v>
      </c>
      <c r="F56" s="17">
        <f t="shared" ca="1" si="42"/>
        <v>-280.72210512867241</v>
      </c>
      <c r="G56" s="17">
        <f t="shared" ca="1" si="42"/>
        <v>-245.79094022231288</v>
      </c>
      <c r="H56" s="17">
        <f t="shared" ca="1" si="42"/>
        <v>-202.75862498289973</v>
      </c>
      <c r="M56">
        <f ca="1">M55/L55</f>
        <v>12.75</v>
      </c>
      <c r="P56" t="str">
        <f t="shared" si="33"/>
        <v>Other</v>
      </c>
      <c r="Q56" s="22">
        <f t="shared" si="34"/>
        <v>5.0999999999999997E-2</v>
      </c>
      <c r="R56" s="22">
        <v>5.0000000000000001E-3</v>
      </c>
      <c r="S56" s="19">
        <v>3.9105801506389426E-3</v>
      </c>
      <c r="T56" s="68" t="str">
        <f t="shared" si="35"/>
        <v>|||||||||</v>
      </c>
    </row>
    <row r="57" spans="2:20" x14ac:dyDescent="0.35">
      <c r="B57" t="s">
        <v>49</v>
      </c>
      <c r="C57" s="17"/>
      <c r="D57" s="17">
        <f ca="1">-SUM(D55:D56,D67)*$Q$21</f>
        <v>-134.33696729469037</v>
      </c>
      <c r="E57" s="17">
        <f ca="1">-SUM(E55:E56,E67)*$Q$21</f>
        <v>-150.6736023071964</v>
      </c>
      <c r="F57" s="17">
        <f ca="1">-SUM(F55:F56,F67)*$Q$21</f>
        <v>-182.54212940287923</v>
      </c>
      <c r="G57" s="17">
        <f ca="1">-SUM(G55:G56,G67)*$Q$21</f>
        <v>-217.4461633446825</v>
      </c>
      <c r="H57" s="17">
        <f ca="1">-SUM(H55:H56,H67)*$Q$21</f>
        <v>-255.7549397570794</v>
      </c>
      <c r="P57" t="str">
        <f t="shared" si="33"/>
        <v>Gross Margin %</v>
      </c>
      <c r="Q57" s="21">
        <f t="shared" si="34"/>
        <v>0.44</v>
      </c>
      <c r="R57" s="21">
        <v>0.01</v>
      </c>
      <c r="S57" s="19">
        <v>2.0075574760617165E-2</v>
      </c>
      <c r="T57" s="68" t="str">
        <f t="shared" si="35"/>
        <v>||||||||||||||||||||||||||||||||||||||||||||||||||</v>
      </c>
    </row>
    <row r="58" spans="2:20" x14ac:dyDescent="0.35">
      <c r="B58" t="s">
        <v>50</v>
      </c>
      <c r="C58" s="17"/>
      <c r="D58" s="17">
        <f ca="1">-D$42*$Q23</f>
        <v>-318.59831059365996</v>
      </c>
      <c r="E58" s="17">
        <f ca="1">-E$42*$Q23</f>
        <v>-324.97027680553316</v>
      </c>
      <c r="F58" s="17">
        <f ca="1">-F$42*$Q23</f>
        <v>-337.96908787775459</v>
      </c>
      <c r="G58" s="17">
        <f ca="1">-G$42*$Q23</f>
        <v>-351.48785139286468</v>
      </c>
      <c r="H58" s="17">
        <f ca="1">-H$42*$Q23</f>
        <v>-365.54736544857928</v>
      </c>
      <c r="P58" t="str">
        <f t="shared" si="33"/>
        <v>SG&amp;A Growth %</v>
      </c>
      <c r="Q58" s="21">
        <f t="shared" si="34"/>
        <v>0.02</v>
      </c>
      <c r="R58" s="21">
        <v>0.01</v>
      </c>
      <c r="S58" s="19">
        <v>2.8862815342576731E-2</v>
      </c>
      <c r="T58" s="68" t="str">
        <f t="shared" si="35"/>
        <v>||||||||||||||||||||||||||||||||||||||||||||||||||||||||||||||||||||||||</v>
      </c>
    </row>
    <row r="59" spans="2:20" x14ac:dyDescent="0.35">
      <c r="B59" t="s">
        <v>51</v>
      </c>
      <c r="C59" s="17"/>
      <c r="D59" s="17">
        <f t="shared" ref="D59:H59" ca="1" si="43">-(D68-C68)</f>
        <v>91.304357141210403</v>
      </c>
      <c r="E59" s="17">
        <f t="shared" ca="1" si="43"/>
        <v>-16.433912857175869</v>
      </c>
      <c r="F59" s="17">
        <f t="shared" ca="1" si="43"/>
        <v>-33.525182228638755</v>
      </c>
      <c r="G59" s="17">
        <f t="shared" ca="1" si="43"/>
        <v>-34.866189517784051</v>
      </c>
      <c r="H59" s="17">
        <f t="shared" ca="1" si="43"/>
        <v>-36.260837098495585</v>
      </c>
      <c r="P59" t="str">
        <f t="shared" si="33"/>
        <v>Tax Rate</v>
      </c>
      <c r="Q59" s="21">
        <f t="shared" si="34"/>
        <v>0.23</v>
      </c>
      <c r="R59" s="21">
        <v>0.01</v>
      </c>
      <c r="S59" s="19">
        <v>1.0571816165738657E-3</v>
      </c>
      <c r="T59" s="68" t="str">
        <f t="shared" si="35"/>
        <v>||</v>
      </c>
    </row>
    <row r="60" spans="2:20" x14ac:dyDescent="0.35">
      <c r="B60" s="28" t="s">
        <v>52</v>
      </c>
      <c r="C60" s="29"/>
      <c r="D60" s="29">
        <f ca="1">SUM(D55:D59)</f>
        <v>415.04182881980108</v>
      </c>
      <c r="E60" s="29">
        <f t="shared" ref="E60:H60" ca="1" si="44">SUM(E55:E59)</f>
        <v>359.47578505190569</v>
      </c>
      <c r="F60" s="29">
        <f t="shared" ca="1" si="44"/>
        <v>443.93402930382393</v>
      </c>
      <c r="G60" s="29">
        <f t="shared" ca="1" si="44"/>
        <v>554.09925373502006</v>
      </c>
      <c r="H60" s="29">
        <f t="shared" ca="1" si="44"/>
        <v>675.39546739107004</v>
      </c>
      <c r="P60" t="str">
        <f t="shared" si="33"/>
        <v>D&amp;A</v>
      </c>
      <c r="Q60" s="19">
        <f t="shared" si="34"/>
        <v>2.4668587896253601E-2</v>
      </c>
      <c r="R60" s="19">
        <v>0.01</v>
      </c>
      <c r="S60" s="19">
        <v>2.5791939110102469E-3</v>
      </c>
      <c r="T60" s="68" t="str">
        <f t="shared" si="35"/>
        <v>||||||</v>
      </c>
    </row>
    <row r="61" spans="2:20" x14ac:dyDescent="0.35">
      <c r="B61" t="s">
        <v>53</v>
      </c>
      <c r="C61" s="17"/>
      <c r="D61" s="17">
        <f ca="1">D76+D87</f>
        <v>-100.13600832152163</v>
      </c>
      <c r="E61" s="17">
        <f t="shared" ref="E61:H61" ca="1" si="45">E76+E87</f>
        <v>-91.835171745125621</v>
      </c>
      <c r="F61" s="17">
        <f t="shared" ca="1" si="45"/>
        <v>-84.645656044087502</v>
      </c>
      <c r="G61" s="17">
        <f t="shared" ca="1" si="45"/>
        <v>-75.766975458011018</v>
      </c>
      <c r="H61" s="17">
        <f t="shared" ca="1" si="45"/>
        <v>-64.68499038331062</v>
      </c>
      <c r="P61" t="str">
        <f t="shared" si="33"/>
        <v>Capex</v>
      </c>
      <c r="Q61" s="19">
        <f t="shared" si="34"/>
        <v>4.0806916426512969E-2</v>
      </c>
      <c r="R61" s="19">
        <v>0.01</v>
      </c>
      <c r="S61" s="19">
        <v>1.0218050097318132E-2</v>
      </c>
      <c r="T61" s="68" t="str">
        <f t="shared" si="35"/>
        <v>|||||||||||||||||||||||||</v>
      </c>
    </row>
    <row r="62" spans="2:20" x14ac:dyDescent="0.35">
      <c r="B62" t="s">
        <v>54</v>
      </c>
      <c r="C62" s="17"/>
      <c r="D62" s="17">
        <f ca="1">D77+D88</f>
        <v>-314.90582049827947</v>
      </c>
      <c r="E62" s="17">
        <f t="shared" ref="E62:H62" ca="1" si="46">E77+E88</f>
        <v>-267.6406133067801</v>
      </c>
      <c r="F62" s="17">
        <f t="shared" ca="1" si="46"/>
        <v>-359.28837325973643</v>
      </c>
      <c r="G62" s="17">
        <f t="shared" ca="1" si="46"/>
        <v>-478.33227827700904</v>
      </c>
      <c r="H62" s="17">
        <f t="shared" ca="1" si="46"/>
        <v>-610.71047700775944</v>
      </c>
      <c r="P62" t="str">
        <f t="shared" si="33"/>
        <v>NWC</v>
      </c>
      <c r="Q62" s="21">
        <f t="shared" si="34"/>
        <v>0.10524495677233429</v>
      </c>
      <c r="R62" s="21">
        <v>0.01</v>
      </c>
      <c r="S62" s="19">
        <v>3.8202510033360504E-3</v>
      </c>
      <c r="T62" s="68" t="str">
        <f t="shared" si="35"/>
        <v>|||||||||</v>
      </c>
    </row>
    <row r="63" spans="2:20" x14ac:dyDescent="0.35">
      <c r="B63" s="28" t="s">
        <v>55</v>
      </c>
      <c r="C63" s="29"/>
      <c r="D63" s="29">
        <f ca="1">SUM(D60:D62)</f>
        <v>0</v>
      </c>
      <c r="E63" s="29">
        <f t="shared" ref="E63:H63" ca="1" si="47">SUM(E60:E62)</f>
        <v>0</v>
      </c>
      <c r="F63" s="29">
        <f t="shared" ca="1" si="47"/>
        <v>0</v>
      </c>
      <c r="G63" s="29">
        <f t="shared" ca="1" si="47"/>
        <v>0</v>
      </c>
      <c r="H63" s="29">
        <f t="shared" ca="1" si="47"/>
        <v>0</v>
      </c>
      <c r="P63" t="str">
        <f t="shared" si="33"/>
        <v>Premium</v>
      </c>
      <c r="Q63" s="21">
        <f t="shared" si="34"/>
        <v>0.35</v>
      </c>
      <c r="R63" s="21">
        <v>0.1</v>
      </c>
      <c r="S63" s="19">
        <v>2.3095797593565726E-2</v>
      </c>
      <c r="T63" s="68" t="str">
        <f t="shared" si="35"/>
        <v>|||||||||||||||||||||||||||||||||||||||||||||||||||||||||</v>
      </c>
    </row>
    <row r="64" spans="2:20" outlineLevel="1" x14ac:dyDescent="0.35">
      <c r="C64" s="17"/>
      <c r="D64" s="17"/>
      <c r="E64" s="17"/>
      <c r="F64" s="17"/>
      <c r="G64" s="17"/>
      <c r="H64" s="17"/>
      <c r="P64" t="str">
        <f t="shared" si="33"/>
        <v>Tranche A Debt / EBITDA</v>
      </c>
      <c r="Q64" s="33">
        <f t="shared" si="34"/>
        <v>3</v>
      </c>
      <c r="R64" s="33">
        <v>0.5</v>
      </c>
      <c r="S64" s="19">
        <v>2.0093341247773289E-3</v>
      </c>
      <c r="T64" s="68" t="str">
        <f t="shared" si="35"/>
        <v>|||||</v>
      </c>
    </row>
    <row r="65" spans="1:20" outlineLevel="1" x14ac:dyDescent="0.35">
      <c r="B65" t="s">
        <v>86</v>
      </c>
      <c r="C65" s="17"/>
      <c r="D65" s="17">
        <f ca="1">D63</f>
        <v>0</v>
      </c>
      <c r="E65" s="17">
        <f ca="1">E63+D65</f>
        <v>0</v>
      </c>
      <c r="F65" s="17">
        <f t="shared" ref="F65:H65" ca="1" si="48">F63+E65</f>
        <v>0</v>
      </c>
      <c r="G65" s="17">
        <f t="shared" ca="1" si="48"/>
        <v>0</v>
      </c>
      <c r="H65" s="17">
        <f t="shared" ca="1" si="48"/>
        <v>0</v>
      </c>
      <c r="P65" t="str">
        <f t="shared" si="33"/>
        <v>Floating Rate</v>
      </c>
      <c r="Q65">
        <f t="shared" si="34"/>
        <v>400</v>
      </c>
      <c r="R65">
        <v>100</v>
      </c>
      <c r="S65" s="19">
        <v>4.1481825317015719E-3</v>
      </c>
      <c r="T65" s="68" t="str">
        <f t="shared" si="35"/>
        <v>||||||||||</v>
      </c>
    </row>
    <row r="66" spans="1:20" outlineLevel="1" x14ac:dyDescent="0.35">
      <c r="D66" s="17"/>
      <c r="E66" s="17"/>
      <c r="F66" s="17"/>
      <c r="G66" s="17"/>
      <c r="H66" s="17"/>
      <c r="P66" t="str">
        <f t="shared" si="33"/>
        <v>Mandatory Amort</v>
      </c>
      <c r="Q66" s="21">
        <f t="shared" si="34"/>
        <v>0.02</v>
      </c>
      <c r="R66" s="21">
        <v>0.01</v>
      </c>
      <c r="S66" s="19">
        <v>1.071181809919608E-9</v>
      </c>
      <c r="T66" s="68" t="str">
        <f t="shared" si="35"/>
        <v/>
      </c>
    </row>
    <row r="67" spans="1:20" outlineLevel="1" x14ac:dyDescent="0.35">
      <c r="B67" t="s">
        <v>57</v>
      </c>
      <c r="C67" s="17"/>
      <c r="D67" s="17">
        <f ca="1">-D$42*$Q22</f>
        <v>-192.59897872046108</v>
      </c>
      <c r="E67" s="17">
        <f ca="1">-E$42*$Q22</f>
        <v>-196.4509582948703</v>
      </c>
      <c r="F67" s="17">
        <f ca="1">-F$42*$Q22</f>
        <v>-204.30899662666516</v>
      </c>
      <c r="G67" s="17">
        <f ca="1">-G$42*$Q22</f>
        <v>-212.48135649173176</v>
      </c>
      <c r="H67" s="17">
        <f ca="1">-H$42*$Q22</f>
        <v>-220.980610751401</v>
      </c>
      <c r="P67" t="str">
        <f t="shared" si="33"/>
        <v>Tranche B Debt / EBITDA</v>
      </c>
      <c r="Q67" s="33">
        <f t="shared" si="34"/>
        <v>1.5</v>
      </c>
      <c r="R67" s="33">
        <v>0.5</v>
      </c>
      <c r="S67" s="19">
        <v>2.0093341320239766E-3</v>
      </c>
      <c r="T67" s="68" t="str">
        <f t="shared" si="35"/>
        <v>|||||</v>
      </c>
    </row>
    <row r="68" spans="1:20" outlineLevel="1" x14ac:dyDescent="0.35">
      <c r="B68" t="s">
        <v>59</v>
      </c>
      <c r="C68" s="57">
        <f>116+1456+65+32-(508+248)</f>
        <v>913</v>
      </c>
      <c r="D68" s="17">
        <f ca="1">D$42*$Q$24</f>
        <v>821.6956428587896</v>
      </c>
      <c r="E68" s="17">
        <f ca="1">E$42*$Q$24</f>
        <v>838.12955571596547</v>
      </c>
      <c r="F68" s="17">
        <f ca="1">F$42*$Q$24</f>
        <v>871.65473794460422</v>
      </c>
      <c r="G68" s="17">
        <f ca="1">G$42*$Q$24</f>
        <v>906.52092746238827</v>
      </c>
      <c r="H68" s="17">
        <f ca="1">H$42*$Q$24</f>
        <v>942.78176456088386</v>
      </c>
      <c r="P68" t="str">
        <f t="shared" si="33"/>
        <v>Floating Rate</v>
      </c>
      <c r="Q68">
        <f t="shared" si="34"/>
        <v>600</v>
      </c>
      <c r="R68">
        <v>100</v>
      </c>
      <c r="S68" s="19">
        <v>8.4885276585566771E-10</v>
      </c>
      <c r="T68" s="68" t="str">
        <f t="shared" si="35"/>
        <v/>
      </c>
    </row>
    <row r="69" spans="1:20" outlineLevel="1" x14ac:dyDescent="0.35">
      <c r="C69" s="17"/>
      <c r="D69" s="17"/>
      <c r="E69" s="17"/>
      <c r="F69" s="17"/>
      <c r="G69" s="17"/>
      <c r="H69" s="17"/>
      <c r="P69" t="str">
        <f t="shared" si="33"/>
        <v>Mandatory Amort</v>
      </c>
      <c r="Q69" s="21">
        <f t="shared" si="34"/>
        <v>0.02</v>
      </c>
      <c r="R69" s="21">
        <v>0.01</v>
      </c>
      <c r="S69" s="19">
        <v>6.1197269474178029E-11</v>
      </c>
      <c r="T69" s="68" t="str">
        <f t="shared" si="35"/>
        <v/>
      </c>
    </row>
    <row r="70" spans="1:20" ht="16" x14ac:dyDescent="0.5">
      <c r="A70" t="s">
        <v>0</v>
      </c>
      <c r="B70" s="4" t="s">
        <v>61</v>
      </c>
      <c r="C70" s="3"/>
      <c r="D70" s="3"/>
      <c r="E70" s="3"/>
      <c r="F70" s="3"/>
      <c r="G70" s="3"/>
      <c r="H70" s="3"/>
      <c r="P70" t="str">
        <f t="shared" si="33"/>
        <v>Exit Multiple</v>
      </c>
      <c r="Q70" s="33">
        <f t="shared" si="34"/>
        <v>7.5</v>
      </c>
      <c r="R70" s="33">
        <v>1</v>
      </c>
      <c r="S70" s="19">
        <v>3.3088766789229229E-2</v>
      </c>
      <c r="T70" s="68" t="str">
        <f t="shared" si="35"/>
        <v>||||||||||||||||||||||||||||||||||||||||||||||||||||||||||||||||||||||||||||||||||</v>
      </c>
    </row>
    <row r="71" spans="1:20" x14ac:dyDescent="0.35">
      <c r="C71" s="17"/>
      <c r="D71" s="17"/>
      <c r="E71" s="17"/>
      <c r="F71" s="17"/>
      <c r="G71" s="17"/>
      <c r="H71" s="17"/>
      <c r="P71" t="str">
        <f t="shared" si="33"/>
        <v>MIP</v>
      </c>
      <c r="Q71" s="21">
        <f t="shared" si="34"/>
        <v>7.0000000000000007E-2</v>
      </c>
      <c r="R71" s="21">
        <v>0.03</v>
      </c>
      <c r="S71" s="19">
        <v>2.1881003188246595E-3</v>
      </c>
      <c r="T71" s="68" t="str">
        <f t="shared" si="35"/>
        <v>|||||</v>
      </c>
    </row>
    <row r="72" spans="1:20" x14ac:dyDescent="0.35">
      <c r="B72" t="s">
        <v>66</v>
      </c>
      <c r="C72" s="31">
        <v>3.5000000000000003E-2</v>
      </c>
      <c r="D72" s="31">
        <v>0.03</v>
      </c>
      <c r="E72" s="31">
        <v>0.03</v>
      </c>
      <c r="F72" s="31">
        <v>0.03</v>
      </c>
      <c r="G72" s="31">
        <v>0.03</v>
      </c>
      <c r="H72" s="31">
        <v>0.03</v>
      </c>
    </row>
    <row r="73" spans="1:20" x14ac:dyDescent="0.35">
      <c r="C73" s="17"/>
      <c r="D73" s="17"/>
      <c r="E73" s="17"/>
      <c r="F73" s="17"/>
      <c r="G73" s="17"/>
      <c r="H73" s="17"/>
    </row>
    <row r="74" spans="1:20" x14ac:dyDescent="0.35">
      <c r="B74" s="12" t="s">
        <v>62</v>
      </c>
      <c r="C74" s="17"/>
      <c r="D74" s="17"/>
      <c r="E74" s="17"/>
      <c r="F74" s="17"/>
      <c r="G74" s="17"/>
      <c r="H74" s="17"/>
    </row>
    <row r="75" spans="1:20" x14ac:dyDescent="0.35">
      <c r="B75" t="s">
        <v>63</v>
      </c>
      <c r="C75" s="17"/>
      <c r="D75" s="17">
        <f ca="1">$G$4</f>
        <v>3337.866944050721</v>
      </c>
      <c r="E75" s="17">
        <f ca="1">D78</f>
        <v>2956.2037846714275</v>
      </c>
      <c r="F75" s="17">
        <f t="shared" ref="F75:H75" ca="1" si="49">E78</f>
        <v>2629.4390956712186</v>
      </c>
      <c r="G75" s="17">
        <f t="shared" ca="1" si="49"/>
        <v>2217.5619404980575</v>
      </c>
      <c r="H75" s="17">
        <f t="shared" ca="1" si="49"/>
        <v>1694.8784234110874</v>
      </c>
    </row>
    <row r="76" spans="1:20" x14ac:dyDescent="0.35">
      <c r="B76" t="s">
        <v>53</v>
      </c>
      <c r="C76" s="17"/>
      <c r="D76" s="17">
        <f ca="1">-D75*$Q$28</f>
        <v>-66.757338881014419</v>
      </c>
      <c r="E76" s="17">
        <f ca="1">-E75*$Q$28</f>
        <v>-59.124075693428551</v>
      </c>
      <c r="F76" s="17">
        <f ca="1">-F75*$Q$28</f>
        <v>-52.588781913424377</v>
      </c>
      <c r="G76" s="17">
        <f ca="1">-G75*$Q$28</f>
        <v>-44.351238809961153</v>
      </c>
      <c r="H76" s="17">
        <f ca="1">-H75*$Q$28</f>
        <v>-33.897568468221749</v>
      </c>
    </row>
    <row r="77" spans="1:20" x14ac:dyDescent="0.35">
      <c r="B77" t="s">
        <v>54</v>
      </c>
      <c r="C77" s="17"/>
      <c r="D77" s="17">
        <f ca="1">-MIN(SUM(D60:D61),SUM(D75:D76))</f>
        <v>-314.90582049827947</v>
      </c>
      <c r="E77" s="17">
        <f t="shared" ref="E77:H77" ca="1" si="50">-MIN(SUM(E60:E61),SUM(E75:E76))</f>
        <v>-267.6406133067801</v>
      </c>
      <c r="F77" s="17">
        <f t="shared" ca="1" si="50"/>
        <v>-359.28837325973643</v>
      </c>
      <c r="G77" s="17">
        <f t="shared" ca="1" si="50"/>
        <v>-478.33227827700904</v>
      </c>
      <c r="H77" s="17">
        <f t="shared" ca="1" si="50"/>
        <v>-610.71047700775944</v>
      </c>
    </row>
    <row r="78" spans="1:20" x14ac:dyDescent="0.35">
      <c r="B78" s="2" t="s">
        <v>64</v>
      </c>
      <c r="C78" s="18"/>
      <c r="D78" s="18">
        <f ca="1">SUM(D75:D77)</f>
        <v>2956.2037846714275</v>
      </c>
      <c r="E78" s="18">
        <f ca="1">SUM(E75:E77)</f>
        <v>2629.4390956712186</v>
      </c>
      <c r="F78" s="18">
        <f t="shared" ref="F78:H78" ca="1" si="51">SUM(F75:F77)</f>
        <v>2217.5619404980575</v>
      </c>
      <c r="G78" s="18">
        <f t="shared" ca="1" si="51"/>
        <v>1694.8784234110874</v>
      </c>
      <c r="H78" s="18">
        <f t="shared" ca="1" si="51"/>
        <v>1050.2703779351061</v>
      </c>
    </row>
    <row r="79" spans="1:20" x14ac:dyDescent="0.35">
      <c r="C79" s="17"/>
      <c r="D79" s="17"/>
      <c r="E79" s="17"/>
      <c r="F79" s="17"/>
      <c r="G79" s="17"/>
      <c r="H79" s="17"/>
    </row>
    <row r="80" spans="1:20" x14ac:dyDescent="0.35">
      <c r="B80" t="s">
        <v>65</v>
      </c>
      <c r="C80" s="17"/>
      <c r="D80" s="17">
        <f ca="1">AVERAGE(D75,D78)</f>
        <v>3147.0353643610742</v>
      </c>
      <c r="E80" s="17">
        <f t="shared" ref="E80:H80" ca="1" si="52">AVERAGE(E75,E78)</f>
        <v>2792.821440171323</v>
      </c>
      <c r="F80" s="17">
        <f t="shared" ca="1" si="52"/>
        <v>2423.5005180846383</v>
      </c>
      <c r="G80" s="17">
        <f t="shared" ca="1" si="52"/>
        <v>1956.2201819545726</v>
      </c>
      <c r="H80" s="17">
        <f t="shared" ca="1" si="52"/>
        <v>1372.5744006730968</v>
      </c>
    </row>
    <row r="81" spans="2:8" x14ac:dyDescent="0.35">
      <c r="B81" t="s">
        <v>67</v>
      </c>
      <c r="C81" s="17"/>
      <c r="D81" s="19">
        <f ca="1">D72+$Q$27/10000</f>
        <v>7.0000000000000007E-2</v>
      </c>
      <c r="E81" s="19">
        <f ca="1">E72+$Q$27/10000</f>
        <v>7.0000000000000007E-2</v>
      </c>
      <c r="F81" s="19">
        <f ca="1">F72+$Q$27/10000</f>
        <v>7.0000000000000007E-2</v>
      </c>
      <c r="G81" s="19">
        <f ca="1">G72+$Q$27/10000</f>
        <v>7.0000000000000007E-2</v>
      </c>
      <c r="H81" s="19">
        <f ca="1">H72+$Q$27/10000</f>
        <v>7.0000000000000007E-2</v>
      </c>
    </row>
    <row r="82" spans="2:8" x14ac:dyDescent="0.35">
      <c r="B82" t="s">
        <v>68</v>
      </c>
      <c r="C82" s="17"/>
      <c r="D82" s="17">
        <f ca="1">D80*-$D$81</f>
        <v>-220.29247550527521</v>
      </c>
      <c r="E82" s="17">
        <f t="shared" ref="E82:H82" ca="1" si="53">E80*-$D$81</f>
        <v>-195.49750081199264</v>
      </c>
      <c r="F82" s="17">
        <f t="shared" ca="1" si="53"/>
        <v>-169.64503626592469</v>
      </c>
      <c r="G82" s="17">
        <f t="shared" ca="1" si="53"/>
        <v>-136.9354127368201</v>
      </c>
      <c r="H82" s="17">
        <f t="shared" ca="1" si="53"/>
        <v>-96.080208047116784</v>
      </c>
    </row>
    <row r="83" spans="2:8" x14ac:dyDescent="0.35">
      <c r="C83" s="15"/>
      <c r="D83" s="15"/>
      <c r="E83" s="15"/>
      <c r="F83" s="15"/>
      <c r="G83" s="15"/>
      <c r="H83" s="15"/>
    </row>
    <row r="84" spans="2:8" x14ac:dyDescent="0.35">
      <c r="C84" s="15"/>
      <c r="D84" s="15"/>
      <c r="E84" s="15"/>
      <c r="F84" s="15"/>
      <c r="G84" s="15"/>
      <c r="H84" s="15"/>
    </row>
    <row r="85" spans="2:8" x14ac:dyDescent="0.35">
      <c r="B85" s="12" t="s">
        <v>69</v>
      </c>
      <c r="C85" s="17"/>
      <c r="D85" s="17"/>
      <c r="E85" s="17"/>
      <c r="F85" s="17"/>
      <c r="G85" s="17"/>
      <c r="H85" s="17"/>
    </row>
    <row r="86" spans="2:8" x14ac:dyDescent="0.35">
      <c r="B86" t="s">
        <v>63</v>
      </c>
      <c r="C86" s="17"/>
      <c r="D86" s="17">
        <f ca="1">$G$5</f>
        <v>1668.9334720253605</v>
      </c>
      <c r="E86" s="17">
        <f ca="1">D89</f>
        <v>1635.5548025848534</v>
      </c>
      <c r="F86" s="17">
        <f t="shared" ref="F86:H86" ca="1" si="54">E89</f>
        <v>1602.8437065331564</v>
      </c>
      <c r="G86" s="17">
        <f t="shared" ca="1" si="54"/>
        <v>1570.7868324024932</v>
      </c>
      <c r="H86" s="17">
        <f t="shared" ca="1" si="54"/>
        <v>1539.3710957544433</v>
      </c>
    </row>
    <row r="87" spans="2:8" x14ac:dyDescent="0.35">
      <c r="B87" t="s">
        <v>53</v>
      </c>
      <c r="C87" s="17"/>
      <c r="D87" s="17">
        <f ca="1">-D86*$Q$31</f>
        <v>-33.37866944050721</v>
      </c>
      <c r="E87" s="17">
        <f ca="1">-E86*$Q$31</f>
        <v>-32.711096051697069</v>
      </c>
      <c r="F87" s="17">
        <f ca="1">-F86*$Q$31</f>
        <v>-32.056874130663125</v>
      </c>
      <c r="G87" s="17">
        <f ca="1">-G86*$Q$31</f>
        <v>-31.415736648049865</v>
      </c>
      <c r="H87" s="17">
        <f ca="1">-H86*$Q$31</f>
        <v>-30.787421915088867</v>
      </c>
    </row>
    <row r="88" spans="2:8" x14ac:dyDescent="0.35">
      <c r="B88" t="s">
        <v>54</v>
      </c>
      <c r="C88" s="17"/>
      <c r="D88" s="17">
        <f ca="1">-MIN(SUM(D86:D87),SUM(D60:D61,D77))</f>
        <v>0</v>
      </c>
      <c r="E88" s="17">
        <f t="shared" ref="E88:H88" ca="1" si="55">-MIN(SUM(E86:E87),SUM(E60:E61,E77))</f>
        <v>0</v>
      </c>
      <c r="F88" s="17">
        <f t="shared" ca="1" si="55"/>
        <v>0</v>
      </c>
      <c r="G88" s="17">
        <f t="shared" ca="1" si="55"/>
        <v>0</v>
      </c>
      <c r="H88" s="17">
        <f t="shared" ca="1" si="55"/>
        <v>0</v>
      </c>
    </row>
    <row r="89" spans="2:8" x14ac:dyDescent="0.35">
      <c r="B89" s="2" t="s">
        <v>64</v>
      </c>
      <c r="C89" s="18"/>
      <c r="D89" s="18">
        <f ca="1">SUM(D86:D88)</f>
        <v>1635.5548025848534</v>
      </c>
      <c r="E89" s="18">
        <f ca="1">SUM(E86:E88)</f>
        <v>1602.8437065331564</v>
      </c>
      <c r="F89" s="18">
        <f t="shared" ref="F89" ca="1" si="56">SUM(F86:F88)</f>
        <v>1570.7868324024932</v>
      </c>
      <c r="G89" s="18">
        <f t="shared" ref="G89" ca="1" si="57">SUM(G86:G88)</f>
        <v>1539.3710957544433</v>
      </c>
      <c r="H89" s="18">
        <f t="shared" ref="H89" ca="1" si="58">SUM(H86:H88)</f>
        <v>1508.5836738393546</v>
      </c>
    </row>
    <row r="90" spans="2:8" x14ac:dyDescent="0.35">
      <c r="C90" s="17"/>
      <c r="D90" s="17"/>
      <c r="E90" s="17"/>
      <c r="F90" s="17"/>
      <c r="G90" s="17"/>
      <c r="H90" s="17"/>
    </row>
    <row r="91" spans="2:8" x14ac:dyDescent="0.35">
      <c r="B91" t="s">
        <v>65</v>
      </c>
      <c r="C91" s="17"/>
      <c r="D91" s="17">
        <f ca="1">AVERAGE(D86,D89)</f>
        <v>1652.244137305107</v>
      </c>
      <c r="E91" s="17">
        <f t="shared" ref="E91:H91" ca="1" si="59">AVERAGE(E86,E89)</f>
        <v>1619.1992545590049</v>
      </c>
      <c r="F91" s="17">
        <f t="shared" ca="1" si="59"/>
        <v>1586.8152694678247</v>
      </c>
      <c r="G91" s="17">
        <f t="shared" ca="1" si="59"/>
        <v>1555.0789640784683</v>
      </c>
      <c r="H91" s="17">
        <f t="shared" ca="1" si="59"/>
        <v>1523.9773847968991</v>
      </c>
    </row>
    <row r="92" spans="2:8" x14ac:dyDescent="0.35">
      <c r="B92" t="s">
        <v>67</v>
      </c>
      <c r="C92" s="17"/>
      <c r="D92" s="19">
        <f ca="1">D72+$Q$30/10000</f>
        <v>0.09</v>
      </c>
      <c r="E92" s="19">
        <f ca="1">E72+$Q$30/10000</f>
        <v>0.09</v>
      </c>
      <c r="F92" s="19">
        <f ca="1">F72+$Q$30/10000</f>
        <v>0.09</v>
      </c>
      <c r="G92" s="19">
        <f ca="1">G72+$Q$30/10000</f>
        <v>0.09</v>
      </c>
      <c r="H92" s="19">
        <f ca="1">H72+$Q$30/10000</f>
        <v>0.09</v>
      </c>
    </row>
    <row r="93" spans="2:8" x14ac:dyDescent="0.35">
      <c r="B93" t="s">
        <v>68</v>
      </c>
      <c r="C93" s="17"/>
      <c r="D93" s="17">
        <f ca="1">D91*-$D$81</f>
        <v>-115.65708961135749</v>
      </c>
      <c r="E93" s="17">
        <f t="shared" ref="E93:H93" ca="1" si="60">E91*-$D$81</f>
        <v>-113.34394781913035</v>
      </c>
      <c r="F93" s="17">
        <f t="shared" ca="1" si="60"/>
        <v>-111.07706886274774</v>
      </c>
      <c r="G93" s="17">
        <f t="shared" ca="1" si="60"/>
        <v>-108.85552748549279</v>
      </c>
      <c r="H93" s="17">
        <f t="shared" ca="1" si="60"/>
        <v>-106.67841693578295</v>
      </c>
    </row>
    <row r="95" spans="2:8" x14ac:dyDescent="0.35">
      <c r="B95" t="s">
        <v>47</v>
      </c>
      <c r="C95" s="17">
        <f>C50</f>
        <v>1499</v>
      </c>
      <c r="D95" s="17">
        <f t="shared" ref="D95:H95" ca="1" si="61">D50</f>
        <v>1112.6223146835737</v>
      </c>
      <c r="E95" s="17">
        <f t="shared" ca="1" si="61"/>
        <v>1160.3950256529342</v>
      </c>
      <c r="F95" s="17">
        <f t="shared" ca="1" si="61"/>
        <v>1278.6925339417689</v>
      </c>
      <c r="G95" s="17">
        <f t="shared" ca="1" si="61"/>
        <v>1403.6903982126641</v>
      </c>
      <c r="H95" s="17">
        <f t="shared" ca="1" si="61"/>
        <v>1535.717234678124</v>
      </c>
    </row>
    <row r="96" spans="2:8" x14ac:dyDescent="0.35">
      <c r="B96" t="s">
        <v>98</v>
      </c>
      <c r="C96" s="17">
        <f>SUM(C78,C89)</f>
        <v>0</v>
      </c>
      <c r="D96" s="17">
        <f t="shared" ref="D96:H96" ca="1" si="62">SUM(D78,D89)</f>
        <v>4591.7585872562813</v>
      </c>
      <c r="E96" s="17">
        <f t="shared" ca="1" si="62"/>
        <v>4232.282802204375</v>
      </c>
      <c r="F96" s="17">
        <f t="shared" ca="1" si="62"/>
        <v>3788.348772900551</v>
      </c>
      <c r="G96" s="17">
        <f t="shared" ca="1" si="62"/>
        <v>3234.2495191655307</v>
      </c>
      <c r="H96" s="17">
        <f t="shared" ca="1" si="62"/>
        <v>2558.8540517744605</v>
      </c>
    </row>
    <row r="98" spans="2:8" x14ac:dyDescent="0.35">
      <c r="B98" t="s">
        <v>99</v>
      </c>
      <c r="D98" s="33">
        <f ca="1">D96/D95</f>
        <v>4.1269697063034041</v>
      </c>
      <c r="E98" s="33">
        <f t="shared" ref="E98:H98" ca="1" si="63">E96/E95</f>
        <v>3.6472776155024818</v>
      </c>
      <c r="F98" s="33">
        <f t="shared" ca="1" si="63"/>
        <v>2.962673725185816</v>
      </c>
      <c r="G98" s="33">
        <f t="shared" ca="1" si="63"/>
        <v>2.3041046111619341</v>
      </c>
      <c r="H98" s="33">
        <f t="shared" ca="1" si="63"/>
        <v>1.6662273457592465</v>
      </c>
    </row>
    <row r="99" spans="2:8" x14ac:dyDescent="0.35">
      <c r="B99" t="s">
        <v>100</v>
      </c>
      <c r="D99" s="33">
        <f ca="1">SUM(D55:D57,D67,-D56)/-D56</f>
        <v>2.3387033360071561</v>
      </c>
      <c r="E99" s="33">
        <f ca="1">SUM(E55:E57,E67,-E56)/-E56</f>
        <v>2.6332944255232698</v>
      </c>
      <c r="F99" s="33">
        <f ca="1">SUM(F55:F57,F67,-F56)/-F56</f>
        <v>3.1769546879945136</v>
      </c>
      <c r="G99" s="33">
        <f ca="1">SUM(G55:G57,G67,-G56)/-G56</f>
        <v>3.9617525263360043</v>
      </c>
      <c r="H99" s="33">
        <f ca="1">SUM(H55:H57,H67,-H56)/-H56</f>
        <v>5.222868739906656</v>
      </c>
    </row>
    <row r="102" spans="2:8" x14ac:dyDescent="0.35">
      <c r="B102" t="s">
        <v>102</v>
      </c>
      <c r="C102" s="17">
        <f ca="1">G6</f>
        <v>6010.2499943258208</v>
      </c>
    </row>
    <row r="103" spans="2:8" x14ac:dyDescent="0.35">
      <c r="B103" t="s">
        <v>103</v>
      </c>
      <c r="C103" s="17">
        <f ca="1">(H42-C42)*C51*C11</f>
        <v>351.77189517541456</v>
      </c>
    </row>
    <row r="104" spans="2:8" x14ac:dyDescent="0.35">
      <c r="B104" t="s">
        <v>104</v>
      </c>
      <c r="C104" s="17">
        <f ca="1">(H51-C51)*H42*C11</f>
        <v>-87.622377191241966</v>
      </c>
    </row>
    <row r="105" spans="2:8" x14ac:dyDescent="0.35">
      <c r="B105" t="s">
        <v>105</v>
      </c>
      <c r="C105" s="17">
        <f ca="1">(N4-C11)*H50</f>
        <v>469.68974210175537</v>
      </c>
    </row>
    <row r="106" spans="2:8" x14ac:dyDescent="0.35">
      <c r="B106" t="s">
        <v>106</v>
      </c>
      <c r="C106" s="17">
        <f ca="1">D75+D86-(H78+H89)</f>
        <v>2447.9463643016206</v>
      </c>
    </row>
    <row r="107" spans="2:8" x14ac:dyDescent="0.35">
      <c r="B107" t="s">
        <v>107</v>
      </c>
      <c r="C107" s="17">
        <f ca="1">-G12-G13</f>
        <v>-233.01041040190205</v>
      </c>
    </row>
    <row r="108" spans="2:8" x14ac:dyDescent="0.35">
      <c r="B108" t="s">
        <v>84</v>
      </c>
      <c r="C108" s="17">
        <f ca="1">N8</f>
        <v>-206.41426497899548</v>
      </c>
    </row>
    <row r="109" spans="2:8" x14ac:dyDescent="0.35">
      <c r="B109" t="s">
        <v>108</v>
      </c>
      <c r="C109" s="17">
        <f ca="1">SUM(C102:C108)</f>
        <v>8752.6109433324709</v>
      </c>
    </row>
  </sheetData>
  <mergeCells count="5">
    <mergeCell ref="L2:N2"/>
    <mergeCell ref="S43:T43"/>
    <mergeCell ref="E9:I9"/>
    <mergeCell ref="E2:J2"/>
    <mergeCell ref="B2:C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34578-3814-451D-A7FA-329306946152}">
  <dimension ref="A2:I20"/>
  <sheetViews>
    <sheetView showGridLines="0" workbookViewId="0"/>
  </sheetViews>
  <sheetFormatPr defaultRowHeight="14.5" x14ac:dyDescent="0.35"/>
  <cols>
    <col min="1" max="1" width="2.6328125" customWidth="1"/>
    <col min="2" max="2" width="25.6328125" customWidth="1"/>
    <col min="3" max="3" width="14.7265625" bestFit="1" customWidth="1"/>
    <col min="4" max="5" width="10.6328125" customWidth="1"/>
    <col min="6" max="6" width="14.7265625" bestFit="1" customWidth="1"/>
    <col min="7" max="7" width="17.81640625" bestFit="1" customWidth="1"/>
    <col min="8" max="8" width="10.81640625" bestFit="1" customWidth="1"/>
    <col min="9" max="9" width="15.26953125" bestFit="1" customWidth="1"/>
    <col min="10" max="13" width="10.6328125" customWidth="1"/>
  </cols>
  <sheetData>
    <row r="2" spans="1:9" ht="16" x14ac:dyDescent="0.5">
      <c r="A2" t="s">
        <v>0</v>
      </c>
      <c r="B2" s="1" t="s">
        <v>110</v>
      </c>
      <c r="C2" s="1" t="s">
        <v>8</v>
      </c>
      <c r="D2" s="1" t="s">
        <v>15</v>
      </c>
      <c r="E2" s="1" t="s">
        <v>47</v>
      </c>
      <c r="F2" s="1" t="s">
        <v>111</v>
      </c>
      <c r="G2" s="1" t="s">
        <v>112</v>
      </c>
      <c r="H2" s="1" t="s">
        <v>125</v>
      </c>
      <c r="I2" s="1" t="s">
        <v>113</v>
      </c>
    </row>
    <row r="3" spans="1:9" x14ac:dyDescent="0.35">
      <c r="B3" t="s">
        <v>114</v>
      </c>
      <c r="C3" s="17">
        <f>22.1*244-1508+3750</f>
        <v>7634.4000000000005</v>
      </c>
      <c r="D3" s="17">
        <v>3591</v>
      </c>
      <c r="E3" s="17">
        <v>840</v>
      </c>
      <c r="F3" s="69">
        <v>-4.4999999999999998E-2</v>
      </c>
      <c r="G3" s="69">
        <v>-0.18</v>
      </c>
      <c r="H3" s="36">
        <f>C3/E3</f>
        <v>9.088571428571429</v>
      </c>
      <c r="I3" s="20">
        <f>E3/D3</f>
        <v>0.23391812865497075</v>
      </c>
    </row>
    <row r="4" spans="1:9" x14ac:dyDescent="0.35">
      <c r="B4" t="s">
        <v>115</v>
      </c>
      <c r="C4" s="17">
        <f>22*18-2+896</f>
        <v>1290</v>
      </c>
      <c r="D4" s="17">
        <v>2114</v>
      </c>
      <c r="E4" s="17">
        <v>133</v>
      </c>
      <c r="F4" s="69">
        <v>-3.2000000000000001E-2</v>
      </c>
      <c r="G4" s="69">
        <v>-0.65</v>
      </c>
      <c r="H4" s="36">
        <f t="shared" ref="H4:H14" si="0">C4/E4</f>
        <v>9.6992481203007515</v>
      </c>
      <c r="I4" s="20">
        <f t="shared" ref="I4:I11" si="1">E4/D4</f>
        <v>6.2913907284768214E-2</v>
      </c>
    </row>
    <row r="5" spans="1:9" x14ac:dyDescent="0.35">
      <c r="B5" t="s">
        <v>116</v>
      </c>
      <c r="C5" s="17">
        <f>592*203-2000+38000</f>
        <v>156176</v>
      </c>
      <c r="D5" s="17">
        <v>97059</v>
      </c>
      <c r="E5" s="17">
        <v>14201</v>
      </c>
      <c r="F5" s="69">
        <v>8.0000000000000002E-3</v>
      </c>
      <c r="G5" s="69">
        <v>1.0999999999999999E-2</v>
      </c>
      <c r="H5" s="36">
        <f t="shared" si="0"/>
        <v>10.997535384832053</v>
      </c>
      <c r="I5" s="20">
        <f t="shared" si="1"/>
        <v>0.14631306730957458</v>
      </c>
    </row>
    <row r="6" spans="1:9" x14ac:dyDescent="0.35">
      <c r="B6" t="s">
        <v>117</v>
      </c>
      <c r="C6" s="17">
        <f>1005*288-2750+50365</f>
        <v>337055</v>
      </c>
      <c r="D6" s="17">
        <v>157403</v>
      </c>
      <c r="E6" s="17">
        <v>27014</v>
      </c>
      <c r="F6" s="69">
        <v>4.1000000000000002E-2</v>
      </c>
      <c r="G6" s="69">
        <v>4.2999999999999997E-2</v>
      </c>
      <c r="H6" s="36">
        <f t="shared" si="0"/>
        <v>12.477048937587917</v>
      </c>
      <c r="I6" s="20">
        <f t="shared" si="1"/>
        <v>0.17162315838961137</v>
      </c>
    </row>
    <row r="7" spans="1:9" x14ac:dyDescent="0.35">
      <c r="B7" t="s">
        <v>118</v>
      </c>
      <c r="C7" s="17">
        <f>466*0.26-150+3700</f>
        <v>3671.16</v>
      </c>
      <c r="D7" s="17">
        <v>6211</v>
      </c>
      <c r="E7" s="17">
        <v>-613</v>
      </c>
      <c r="F7" s="69">
        <v>-0.26400000000000001</v>
      </c>
      <c r="G7" s="69">
        <v>-12</v>
      </c>
      <c r="H7" s="36">
        <f t="shared" si="0"/>
        <v>-5.9888417618270795</v>
      </c>
      <c r="I7" s="20">
        <f t="shared" si="1"/>
        <v>-9.8695862180003216E-2</v>
      </c>
    </row>
    <row r="8" spans="1:9" x14ac:dyDescent="0.35">
      <c r="B8" t="s">
        <v>119</v>
      </c>
      <c r="C8" s="17">
        <f>110*206+4000</f>
        <v>26660</v>
      </c>
      <c r="D8" s="17">
        <v>14205</v>
      </c>
      <c r="E8" s="17">
        <v>1778</v>
      </c>
      <c r="F8" s="69">
        <v>0.11600000000000001</v>
      </c>
      <c r="G8" s="69">
        <v>9.2999999999999999E-2</v>
      </c>
      <c r="H8" s="36">
        <f t="shared" si="0"/>
        <v>14.99437570303712</v>
      </c>
      <c r="I8" s="20">
        <f t="shared" si="1"/>
        <v>0.12516719464977122</v>
      </c>
    </row>
    <row r="9" spans="1:9" x14ac:dyDescent="0.35">
      <c r="B9" t="s">
        <v>120</v>
      </c>
      <c r="C9" s="17">
        <f>45*18-350</f>
        <v>460</v>
      </c>
      <c r="D9" s="17">
        <v>1929</v>
      </c>
      <c r="E9" s="17">
        <v>38</v>
      </c>
      <c r="F9" s="69">
        <v>-0.3</v>
      </c>
      <c r="G9" s="69">
        <v>0.75700000000000001</v>
      </c>
      <c r="H9" s="36">
        <f t="shared" si="0"/>
        <v>12.105263157894736</v>
      </c>
      <c r="I9" s="20">
        <f t="shared" si="1"/>
        <v>1.9699326075686883E-2</v>
      </c>
    </row>
    <row r="10" spans="1:9" x14ac:dyDescent="0.35">
      <c r="B10" t="s">
        <v>121</v>
      </c>
      <c r="C10" s="17">
        <f>112*43-1300+4200</f>
        <v>7716</v>
      </c>
      <c r="D10" s="17">
        <v>12218</v>
      </c>
      <c r="E10" s="17">
        <v>-1136</v>
      </c>
      <c r="F10" s="69">
        <v>-0.11</v>
      </c>
      <c r="G10" s="69">
        <v>15.02</v>
      </c>
      <c r="H10" s="36">
        <f t="shared" si="0"/>
        <v>-6.792253521126761</v>
      </c>
      <c r="I10" s="20">
        <f t="shared" si="1"/>
        <v>-9.2977574071042721E-2</v>
      </c>
    </row>
    <row r="11" spans="1:9" x14ac:dyDescent="0.35">
      <c r="B11" t="s">
        <v>124</v>
      </c>
      <c r="C11" s="17">
        <f>140*6.8-145+382</f>
        <v>1189</v>
      </c>
      <c r="D11" s="17">
        <v>1229</v>
      </c>
      <c r="E11" s="17">
        <v>210</v>
      </c>
      <c r="F11" s="69">
        <v>0.54</v>
      </c>
      <c r="G11" s="69">
        <v>3.25</v>
      </c>
      <c r="H11" s="36">
        <f t="shared" si="0"/>
        <v>5.6619047619047622</v>
      </c>
      <c r="I11" s="20">
        <f t="shared" si="1"/>
        <v>0.17087062652563059</v>
      </c>
    </row>
    <row r="12" spans="1:9" x14ac:dyDescent="0.35">
      <c r="B12" s="26" t="s">
        <v>122</v>
      </c>
      <c r="C12" s="27">
        <f>MEDIAN(C3:C11)</f>
        <v>7634.4000000000005</v>
      </c>
      <c r="D12" s="27">
        <f>MEDIAN(D3:D11)</f>
        <v>6211</v>
      </c>
      <c r="E12" s="27">
        <f t="shared" ref="E12:I12" si="2">MEDIAN(E3:E11)</f>
        <v>210</v>
      </c>
      <c r="F12" s="70">
        <f t="shared" si="2"/>
        <v>-3.2000000000000001E-2</v>
      </c>
      <c r="G12" s="70">
        <f t="shared" si="2"/>
        <v>4.2999999999999997E-2</v>
      </c>
      <c r="H12" s="55">
        <f>MEDIAN(H3:H11)</f>
        <v>9.6992481203007515</v>
      </c>
      <c r="I12" s="70">
        <f t="shared" si="2"/>
        <v>0.12516719464977122</v>
      </c>
    </row>
    <row r="13" spans="1:9" x14ac:dyDescent="0.35">
      <c r="D13" s="17"/>
      <c r="E13" s="17"/>
      <c r="F13" s="69"/>
      <c r="G13" s="69"/>
      <c r="H13" s="36"/>
      <c r="I13" s="32"/>
    </row>
    <row r="14" spans="1:9" x14ac:dyDescent="0.35">
      <c r="B14" s="51" t="s">
        <v>123</v>
      </c>
      <c r="C14" s="52">
        <f>Model!C3*Model!C5+SUM(Model!C7:C8)</f>
        <v>8267.4000000000015</v>
      </c>
      <c r="D14" s="52">
        <f>Model!C42</f>
        <v>8675</v>
      </c>
      <c r="E14" s="52">
        <f>Model!C50</f>
        <v>1499</v>
      </c>
      <c r="F14" s="71">
        <v>5.1999999999999998E-2</v>
      </c>
      <c r="G14" s="71">
        <v>4.8000000000000001E-2</v>
      </c>
      <c r="H14" s="54">
        <f t="shared" si="0"/>
        <v>5.515276851234157</v>
      </c>
      <c r="I14" s="53">
        <f t="shared" ref="I14" si="3">E14/D14</f>
        <v>0.17279538904899136</v>
      </c>
    </row>
    <row r="17" spans="1:6" ht="16" x14ac:dyDescent="0.5">
      <c r="A17" t="s">
        <v>0</v>
      </c>
      <c r="B17" s="1" t="s">
        <v>126</v>
      </c>
      <c r="C17" s="1" t="s">
        <v>127</v>
      </c>
      <c r="D17" s="1" t="s">
        <v>128</v>
      </c>
      <c r="E17" s="1" t="s">
        <v>47</v>
      </c>
      <c r="F17" s="1" t="s">
        <v>125</v>
      </c>
    </row>
    <row r="18" spans="1:6" x14ac:dyDescent="0.35">
      <c r="B18" s="56">
        <v>45030</v>
      </c>
      <c r="C18" t="s">
        <v>129</v>
      </c>
      <c r="D18" s="34">
        <v>8200</v>
      </c>
      <c r="E18" s="34">
        <v>1039</v>
      </c>
      <c r="F18" s="36">
        <f>D18/E18</f>
        <v>7.8922040423484123</v>
      </c>
    </row>
    <row r="19" spans="1:6" x14ac:dyDescent="0.35">
      <c r="B19" s="56">
        <v>44957</v>
      </c>
      <c r="C19" t="s">
        <v>130</v>
      </c>
      <c r="D19" s="34">
        <v>1050</v>
      </c>
      <c r="E19" s="34">
        <v>72</v>
      </c>
      <c r="F19" s="36">
        <f>D19/E19</f>
        <v>14.583333333333334</v>
      </c>
    </row>
    <row r="20" spans="1:6" x14ac:dyDescent="0.35">
      <c r="B20" s="56">
        <v>44777</v>
      </c>
      <c r="C20" t="s">
        <v>131</v>
      </c>
      <c r="D20" s="34">
        <v>5200</v>
      </c>
      <c r="E20" s="34">
        <v>876</v>
      </c>
      <c r="F20" s="36">
        <f>D20/E20</f>
        <v>5.9360730593607309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</vt:lpstr>
      <vt:lpstr>Comps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Nathaniel Littkemann</cp:lastModifiedBy>
  <dcterms:created xsi:type="dcterms:W3CDTF">2015-06-05T18:17:20Z</dcterms:created>
  <dcterms:modified xsi:type="dcterms:W3CDTF">2024-12-29T16:00:28Z</dcterms:modified>
</cp:coreProperties>
</file>